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7f66a50621a2f7/Documents/"/>
    </mc:Choice>
  </mc:AlternateContent>
  <xr:revisionPtr revIDLastSave="10" documentId="8_{B0DE7BC0-ABC6-5746-A79E-884C1DE17593}" xr6:coauthVersionLast="47" xr6:coauthVersionMax="47" xr10:uidLastSave="{E11477C3-362A-4406-8B4B-B5E338E6355D}"/>
  <bookViews>
    <workbookView xWindow="-120" yWindow="-120" windowWidth="20730" windowHeight="11160" activeTab="5" xr2:uid="{00000000-000D-0000-FFFF-FFFF00000000}"/>
  </bookViews>
  <sheets>
    <sheet name="PCCTAE 2017" sheetId="7" r:id="rId1"/>
    <sheet name="PCCTAE 2023" sheetId="8" r:id="rId2"/>
    <sheet name="DOCENTES 2023" sheetId="15" r:id="rId3"/>
    <sheet name="ENQUADRAMENTO" sheetId="5" r:id="rId4"/>
    <sheet name="PLANILHA REESTRUTURADA" sheetId="4" r:id="rId5"/>
    <sheet name="2024" sheetId="2" r:id="rId6"/>
    <sheet name="AUMENTO % TAE" sheetId="14" r:id="rId7"/>
    <sheet name="AUMENTO % DOCENTE" sheetId="9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Y4" i="8"/>
  <c r="P50" i="15"/>
  <c r="P49" i="15"/>
  <c r="P48" i="15"/>
  <c r="P47" i="15"/>
  <c r="P46" i="15"/>
  <c r="P45" i="15"/>
  <c r="P44" i="15"/>
  <c r="P43" i="15"/>
  <c r="P42" i="15"/>
  <c r="P41" i="15"/>
  <c r="P40" i="15"/>
  <c r="P38" i="15"/>
  <c r="P39" i="15"/>
  <c r="O38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H42" i="15"/>
  <c r="H43" i="15"/>
  <c r="H44" i="15"/>
  <c r="H45" i="15"/>
  <c r="H46" i="15"/>
  <c r="H47" i="15"/>
  <c r="H48" i="15"/>
  <c r="H49" i="15"/>
  <c r="H50" i="15"/>
  <c r="H41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G23" i="15"/>
  <c r="G22" i="15"/>
  <c r="H40" i="15"/>
  <c r="H39" i="15"/>
  <c r="E42" i="15"/>
  <c r="E43" i="15"/>
  <c r="E44" i="15"/>
  <c r="E45" i="15"/>
  <c r="E46" i="15"/>
  <c r="E47" i="15"/>
  <c r="E48" i="15"/>
  <c r="E49" i="15"/>
  <c r="E41" i="15"/>
  <c r="E40" i="15"/>
  <c r="E39" i="15"/>
  <c r="E50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M17" i="15"/>
  <c r="M16" i="15"/>
  <c r="M15" i="15"/>
  <c r="M14" i="15"/>
  <c r="M13" i="15"/>
  <c r="M12" i="15"/>
  <c r="M11" i="15"/>
  <c r="M10" i="15"/>
  <c r="M9" i="15"/>
  <c r="M8" i="15"/>
  <c r="M7" i="15"/>
  <c r="M6" i="15"/>
  <c r="J17" i="15"/>
  <c r="J16" i="15"/>
  <c r="J15" i="15"/>
  <c r="K15" i="15"/>
  <c r="J14" i="15"/>
  <c r="J13" i="15"/>
  <c r="J12" i="15"/>
  <c r="J11" i="15"/>
  <c r="J10" i="15"/>
  <c r="J9" i="15"/>
  <c r="J8" i="15"/>
  <c r="J7" i="15"/>
  <c r="J6" i="15"/>
  <c r="G17" i="15"/>
  <c r="G16" i="15"/>
  <c r="G15" i="15"/>
  <c r="G14" i="15"/>
  <c r="H14" i="15"/>
  <c r="G13" i="15"/>
  <c r="G12" i="15"/>
  <c r="G11" i="15"/>
  <c r="G10" i="15"/>
  <c r="G9" i="15"/>
  <c r="G8" i="15"/>
  <c r="G7" i="15"/>
  <c r="G6" i="15"/>
  <c r="O41" i="15"/>
  <c r="O42" i="15"/>
  <c r="O43" i="15"/>
  <c r="O44" i="15"/>
  <c r="O45" i="15"/>
  <c r="O46" i="15"/>
  <c r="O47" i="15"/>
  <c r="O48" i="15"/>
  <c r="O49" i="15"/>
  <c r="O50" i="15"/>
  <c r="O40" i="15"/>
  <c r="O39" i="15"/>
  <c r="Q39" i="15"/>
  <c r="L41" i="15"/>
  <c r="L42" i="15"/>
  <c r="L43" i="15"/>
  <c r="L44" i="15"/>
  <c r="N44" i="15"/>
  <c r="L45" i="15"/>
  <c r="L46" i="15"/>
  <c r="L47" i="15"/>
  <c r="L48" i="15"/>
  <c r="N48" i="15"/>
  <c r="L49" i="15"/>
  <c r="L50" i="15"/>
  <c r="L40" i="15"/>
  <c r="L39" i="15"/>
  <c r="N39" i="15"/>
  <c r="I41" i="15"/>
  <c r="I42" i="15"/>
  <c r="I43" i="15"/>
  <c r="I44" i="15"/>
  <c r="K44" i="15"/>
  <c r="I45" i="15"/>
  <c r="I46" i="15"/>
  <c r="I47" i="15"/>
  <c r="I48" i="15"/>
  <c r="K48" i="15"/>
  <c r="I49" i="15"/>
  <c r="I50" i="15"/>
  <c r="I40" i="15"/>
  <c r="K40" i="15"/>
  <c r="I39" i="15"/>
  <c r="K39" i="15"/>
  <c r="F41" i="15"/>
  <c r="F42" i="15"/>
  <c r="F43" i="15"/>
  <c r="F44" i="15"/>
  <c r="F45" i="15"/>
  <c r="F46" i="15"/>
  <c r="F47" i="15"/>
  <c r="F48" i="15"/>
  <c r="F49" i="15"/>
  <c r="F50" i="15"/>
  <c r="F40" i="15"/>
  <c r="F39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O21" i="15"/>
  <c r="O24" i="15"/>
  <c r="O25" i="15"/>
  <c r="O26" i="15"/>
  <c r="O27" i="15"/>
  <c r="Q27" i="15"/>
  <c r="O28" i="15"/>
  <c r="O29" i="15"/>
  <c r="O30" i="15"/>
  <c r="O31" i="15"/>
  <c r="Q31" i="15"/>
  <c r="O32" i="15"/>
  <c r="O33" i="15"/>
  <c r="O23" i="15"/>
  <c r="Q23" i="15"/>
  <c r="O22" i="15"/>
  <c r="L24" i="15"/>
  <c r="L25" i="15"/>
  <c r="L26" i="15"/>
  <c r="L27" i="15"/>
  <c r="N27" i="15"/>
  <c r="L28" i="15"/>
  <c r="L29" i="15"/>
  <c r="L30" i="15"/>
  <c r="L31" i="15"/>
  <c r="N31" i="15"/>
  <c r="L32" i="15"/>
  <c r="L33" i="15"/>
  <c r="L23" i="15"/>
  <c r="N23" i="15"/>
  <c r="L22" i="15"/>
  <c r="I24" i="15"/>
  <c r="I25" i="15"/>
  <c r="I26" i="15"/>
  <c r="K26" i="15"/>
  <c r="I27" i="15"/>
  <c r="K27" i="15"/>
  <c r="I28" i="15"/>
  <c r="I29" i="15"/>
  <c r="I30" i="15"/>
  <c r="K30" i="15"/>
  <c r="I31" i="15"/>
  <c r="K31" i="15"/>
  <c r="I32" i="15"/>
  <c r="I33" i="15"/>
  <c r="I23" i="15"/>
  <c r="K23" i="15"/>
  <c r="I22" i="15"/>
  <c r="F24" i="15"/>
  <c r="F25" i="15"/>
  <c r="F26" i="15"/>
  <c r="F27" i="15"/>
  <c r="H27" i="15"/>
  <c r="F28" i="15"/>
  <c r="F29" i="15"/>
  <c r="F30" i="15"/>
  <c r="F31" i="15"/>
  <c r="H31" i="15"/>
  <c r="F32" i="15"/>
  <c r="F33" i="15"/>
  <c r="F23" i="15"/>
  <c r="F22" i="15"/>
  <c r="H22" i="15"/>
  <c r="O5" i="15"/>
  <c r="O8" i="15"/>
  <c r="O9" i="15"/>
  <c r="O10" i="15"/>
  <c r="O11" i="15"/>
  <c r="O12" i="15"/>
  <c r="O13" i="15"/>
  <c r="O14" i="15"/>
  <c r="O15" i="15"/>
  <c r="O16" i="15"/>
  <c r="O17" i="15"/>
  <c r="O7" i="15"/>
  <c r="O6" i="15"/>
  <c r="L8" i="15"/>
  <c r="L9" i="15"/>
  <c r="L10" i="15"/>
  <c r="L11" i="15"/>
  <c r="L12" i="15"/>
  <c r="L13" i="15"/>
  <c r="L14" i="15"/>
  <c r="L15" i="15"/>
  <c r="L16" i="15"/>
  <c r="L17" i="15"/>
  <c r="L7" i="15"/>
  <c r="N7" i="15"/>
  <c r="L6" i="15"/>
  <c r="I8" i="15"/>
  <c r="I9" i="15"/>
  <c r="I10" i="15"/>
  <c r="I11" i="15"/>
  <c r="I12" i="15"/>
  <c r="I13" i="15"/>
  <c r="I14" i="15"/>
  <c r="I15" i="15"/>
  <c r="I16" i="15"/>
  <c r="I17" i="15"/>
  <c r="I7" i="15"/>
  <c r="K7" i="15"/>
  <c r="I6" i="15"/>
  <c r="K6" i="15"/>
  <c r="F8" i="15"/>
  <c r="F9" i="15"/>
  <c r="F10" i="15"/>
  <c r="F11" i="15"/>
  <c r="H11" i="15"/>
  <c r="F12" i="15"/>
  <c r="F13" i="15"/>
  <c r="F14" i="15"/>
  <c r="F15" i="15"/>
  <c r="H15" i="15"/>
  <c r="F16" i="15"/>
  <c r="F17" i="15"/>
  <c r="F7" i="15"/>
  <c r="F6" i="15"/>
  <c r="C33" i="15"/>
  <c r="C32" i="15"/>
  <c r="C31" i="15"/>
  <c r="C30" i="15"/>
  <c r="E30" i="15"/>
  <c r="C29" i="15"/>
  <c r="C28" i="15"/>
  <c r="C27" i="15"/>
  <c r="C26" i="15"/>
  <c r="C25" i="15"/>
  <c r="C24" i="15"/>
  <c r="C23" i="15"/>
  <c r="E23" i="15"/>
  <c r="C22" i="15"/>
  <c r="E22" i="15"/>
  <c r="C17" i="15"/>
  <c r="C16" i="15"/>
  <c r="C15" i="15"/>
  <c r="C14" i="15"/>
  <c r="E14" i="15"/>
  <c r="C13" i="15"/>
  <c r="E13" i="15"/>
  <c r="C12" i="15"/>
  <c r="C11" i="15"/>
  <c r="C10" i="15"/>
  <c r="C9" i="15"/>
  <c r="C8" i="15"/>
  <c r="C7" i="15"/>
  <c r="E7" i="15"/>
  <c r="C6" i="15"/>
  <c r="E6" i="15"/>
  <c r="K41" i="15"/>
  <c r="K42" i="15"/>
  <c r="K43" i="15"/>
  <c r="K45" i="15"/>
  <c r="K46" i="15"/>
  <c r="K47" i="15"/>
  <c r="K49" i="15"/>
  <c r="K50" i="15"/>
  <c r="N41" i="15"/>
  <c r="N42" i="15"/>
  <c r="N43" i="15"/>
  <c r="N45" i="15"/>
  <c r="N46" i="15"/>
  <c r="N47" i="15"/>
  <c r="N49" i="15"/>
  <c r="N50" i="15"/>
  <c r="N40" i="15"/>
  <c r="Q40" i="15"/>
  <c r="Q41" i="15"/>
  <c r="Q42" i="15"/>
  <c r="Q43" i="15"/>
  <c r="Q44" i="15"/>
  <c r="Q45" i="15"/>
  <c r="Q46" i="15"/>
  <c r="Q47" i="15"/>
  <c r="Q48" i="15"/>
  <c r="Q49" i="15"/>
  <c r="Q50" i="15"/>
  <c r="Q38" i="15"/>
  <c r="Q21" i="15"/>
  <c r="Q24" i="15"/>
  <c r="Q25" i="15"/>
  <c r="Q26" i="15"/>
  <c r="Q28" i="15"/>
  <c r="Q29" i="15"/>
  <c r="Q30" i="15"/>
  <c r="Q32" i="15"/>
  <c r="Q33" i="15"/>
  <c r="Q22" i="15"/>
  <c r="N24" i="15"/>
  <c r="N25" i="15"/>
  <c r="N26" i="15"/>
  <c r="N28" i="15"/>
  <c r="N29" i="15"/>
  <c r="N30" i="15"/>
  <c r="N32" i="15"/>
  <c r="N33" i="15"/>
  <c r="N22" i="15"/>
  <c r="K24" i="15"/>
  <c r="K25" i="15"/>
  <c r="K28" i="15"/>
  <c r="K29" i="15"/>
  <c r="K32" i="15"/>
  <c r="K33" i="15"/>
  <c r="K22" i="15"/>
  <c r="H24" i="15"/>
  <c r="H25" i="15"/>
  <c r="H26" i="15"/>
  <c r="H28" i="15"/>
  <c r="H29" i="15"/>
  <c r="H30" i="15"/>
  <c r="H32" i="15"/>
  <c r="H33" i="15"/>
  <c r="H23" i="15"/>
  <c r="E24" i="15"/>
  <c r="E25" i="15"/>
  <c r="E26" i="15"/>
  <c r="E27" i="15"/>
  <c r="E28" i="15"/>
  <c r="E29" i="15"/>
  <c r="E31" i="15"/>
  <c r="E32" i="15"/>
  <c r="E33" i="15"/>
  <c r="Q7" i="15"/>
  <c r="Q8" i="15"/>
  <c r="Q9" i="15"/>
  <c r="Q10" i="15"/>
  <c r="Q11" i="15"/>
  <c r="Q12" i="15"/>
  <c r="Q13" i="15"/>
  <c r="Q14" i="15"/>
  <c r="Q15" i="15"/>
  <c r="Q16" i="15"/>
  <c r="Q17" i="15"/>
  <c r="Q6" i="15"/>
  <c r="Q5" i="15"/>
  <c r="N8" i="15"/>
  <c r="N9" i="15"/>
  <c r="N10" i="15"/>
  <c r="N11" i="15"/>
  <c r="N12" i="15"/>
  <c r="N13" i="15"/>
  <c r="N14" i="15"/>
  <c r="N15" i="15"/>
  <c r="N16" i="15"/>
  <c r="N17" i="15"/>
  <c r="N6" i="15"/>
  <c r="K8" i="15"/>
  <c r="K9" i="15"/>
  <c r="K10" i="15"/>
  <c r="K11" i="15"/>
  <c r="K12" i="15"/>
  <c r="K13" i="15"/>
  <c r="K14" i="15"/>
  <c r="K16" i="15"/>
  <c r="K17" i="15"/>
  <c r="H17" i="15"/>
  <c r="H8" i="15"/>
  <c r="H9" i="15"/>
  <c r="H10" i="15"/>
  <c r="H12" i="15"/>
  <c r="H13" i="15"/>
  <c r="H16" i="15"/>
  <c r="H7" i="15"/>
  <c r="H6" i="15"/>
  <c r="E8" i="15"/>
  <c r="E9" i="15"/>
  <c r="E10" i="15"/>
  <c r="E11" i="15"/>
  <c r="E12" i="15"/>
  <c r="E15" i="15"/>
  <c r="E16" i="15"/>
  <c r="E17" i="15"/>
  <c r="F7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43" i="2"/>
  <c r="B18" i="14"/>
  <c r="C18" i="14" s="1"/>
  <c r="V42" i="2"/>
  <c r="B17" i="14" l="1"/>
  <c r="C17" i="14" s="1"/>
  <c r="V41" i="2"/>
  <c r="V40" i="2" l="1"/>
  <c r="B16" i="14"/>
  <c r="C16" i="14" s="1"/>
  <c r="V39" i="2" l="1"/>
  <c r="B15" i="14"/>
  <c r="C15" i="14" s="1"/>
  <c r="B14" i="14" l="1"/>
  <c r="C14" i="14" s="1"/>
  <c r="V38" i="2"/>
  <c r="B13" i="14" l="1"/>
  <c r="C13" i="14" s="1"/>
  <c r="V37" i="2"/>
  <c r="B12" i="14" l="1"/>
  <c r="C12" i="14" s="1"/>
  <c r="E18" i="14"/>
  <c r="F18" i="14" s="1"/>
  <c r="V36" i="2"/>
  <c r="B11" i="14" l="1"/>
  <c r="C11" i="14" s="1"/>
  <c r="V35" i="2"/>
  <c r="E17" i="14"/>
  <c r="F17" i="14" s="1"/>
  <c r="B10" i="14" l="1"/>
  <c r="C10" i="14" s="1"/>
  <c r="V34" i="2"/>
  <c r="E16" i="14"/>
  <c r="F16" i="14" s="1"/>
  <c r="B9" i="14" l="1"/>
  <c r="C9" i="14" s="1"/>
  <c r="E15" i="14"/>
  <c r="F15" i="14" s="1"/>
  <c r="V33" i="2"/>
  <c r="B8" i="14" l="1"/>
  <c r="C8" i="14" s="1"/>
  <c r="E14" i="14"/>
  <c r="F14" i="14" s="1"/>
  <c r="V32" i="2"/>
  <c r="B7" i="14" l="1"/>
  <c r="C7" i="14" s="1"/>
  <c r="V31" i="2"/>
  <c r="E13" i="14"/>
  <c r="F13" i="14" s="1"/>
  <c r="H18" i="14" l="1"/>
  <c r="I18" i="14" s="1"/>
  <c r="B6" i="14"/>
  <c r="C6" i="14" s="1"/>
  <c r="E12" i="14"/>
  <c r="F12" i="14" s="1"/>
  <c r="V30" i="2"/>
  <c r="H17" i="14" l="1"/>
  <c r="I17" i="14" s="1"/>
  <c r="E11" i="14"/>
  <c r="F11" i="14" s="1"/>
  <c r="B5" i="14"/>
  <c r="C5" i="14" s="1"/>
  <c r="V29" i="2"/>
  <c r="H16" i="14" l="1"/>
  <c r="I16" i="14" s="1"/>
  <c r="V28" i="2"/>
  <c r="B4" i="14"/>
  <c r="C4" i="14" s="1"/>
  <c r="E10" i="14"/>
  <c r="F10" i="14" s="1"/>
  <c r="H15" i="14" l="1"/>
  <c r="I15" i="14" s="1"/>
  <c r="V27" i="2"/>
  <c r="B3" i="14"/>
  <c r="C3" i="14" s="1"/>
  <c r="E9" i="14"/>
  <c r="F9" i="14" s="1"/>
  <c r="H14" i="14" l="1"/>
  <c r="I14" i="14" s="1"/>
  <c r="V26" i="2"/>
  <c r="E8" i="14"/>
  <c r="F8" i="14" s="1"/>
  <c r="H13" i="14" l="1"/>
  <c r="I13" i="14" s="1"/>
  <c r="E7" i="14"/>
  <c r="F7" i="14" s="1"/>
  <c r="V25" i="2"/>
  <c r="E6" i="14" l="1"/>
  <c r="F6" i="14" s="1"/>
  <c r="V24" i="2"/>
  <c r="K18" i="14"/>
  <c r="L18" i="14" s="1"/>
  <c r="H12" i="14"/>
  <c r="I12" i="14" s="1"/>
  <c r="K17" i="14" l="1"/>
  <c r="L17" i="14" s="1"/>
  <c r="V23" i="2"/>
  <c r="H11" i="14"/>
  <c r="I11" i="14" s="1"/>
  <c r="E5" i="14"/>
  <c r="F5" i="14" s="1"/>
  <c r="H10" i="14" l="1"/>
  <c r="I10" i="14" s="1"/>
  <c r="E4" i="14"/>
  <c r="F4" i="14" s="1"/>
  <c r="K16" i="14"/>
  <c r="L16" i="14" s="1"/>
  <c r="V22" i="2"/>
  <c r="K15" i="14" l="1"/>
  <c r="L15" i="14" s="1"/>
  <c r="H9" i="14"/>
  <c r="I9" i="14" s="1"/>
  <c r="E3" i="14"/>
  <c r="F3" i="14" s="1"/>
  <c r="V21" i="2"/>
  <c r="H8" i="14" l="1"/>
  <c r="I8" i="14" s="1"/>
  <c r="K14" i="14"/>
  <c r="L14" i="14" s="1"/>
  <c r="V20" i="2"/>
  <c r="K13" i="14" l="1"/>
  <c r="L13" i="14" s="1"/>
  <c r="V19" i="2"/>
  <c r="H7" i="14"/>
  <c r="I7" i="14" s="1"/>
  <c r="AB19" i="2" l="1"/>
  <c r="N18" i="14"/>
  <c r="O18" i="14" s="1"/>
  <c r="K12" i="14"/>
  <c r="L12" i="14" s="1"/>
  <c r="V18" i="2"/>
  <c r="H6" i="14"/>
  <c r="I6" i="14" s="1"/>
  <c r="AB18" i="2" l="1"/>
  <c r="N17" i="14"/>
  <c r="O17" i="14" s="1"/>
  <c r="K11" i="14"/>
  <c r="L11" i="14" s="1"/>
  <c r="V17" i="2"/>
  <c r="H5" i="14"/>
  <c r="I5" i="14" s="1"/>
  <c r="AG19" i="2"/>
  <c r="D20" i="9" s="1"/>
  <c r="AB59" i="2"/>
  <c r="AQ19" i="2"/>
  <c r="H20" i="9" s="1"/>
  <c r="B20" i="9"/>
  <c r="AL19" i="2"/>
  <c r="F20" i="9" s="1"/>
  <c r="AB39" i="2"/>
  <c r="N16" i="14" l="1"/>
  <c r="O16" i="14" s="1"/>
  <c r="V16" i="2"/>
  <c r="AB17" i="2"/>
  <c r="K10" i="14"/>
  <c r="L10" i="14" s="1"/>
  <c r="H4" i="14"/>
  <c r="I4" i="14" s="1"/>
  <c r="AG39" i="2"/>
  <c r="AL39" i="2"/>
  <c r="AQ39" i="2"/>
  <c r="AL59" i="2"/>
  <c r="AQ59" i="2"/>
  <c r="AG59" i="2"/>
  <c r="F70" i="9"/>
  <c r="G70" i="9" s="1"/>
  <c r="F40" i="9"/>
  <c r="G40" i="9" s="1"/>
  <c r="G20" i="9"/>
  <c r="H40" i="9"/>
  <c r="I40" i="9" s="1"/>
  <c r="I20" i="9"/>
  <c r="H70" i="9"/>
  <c r="I70" i="9" s="1"/>
  <c r="D40" i="9"/>
  <c r="E40" i="9" s="1"/>
  <c r="E20" i="9"/>
  <c r="D70" i="9"/>
  <c r="E70" i="9" s="1"/>
  <c r="C20" i="9"/>
  <c r="B40" i="9"/>
  <c r="C40" i="9" s="1"/>
  <c r="B70" i="9"/>
  <c r="C70" i="9" s="1"/>
  <c r="AL18" i="2"/>
  <c r="F19" i="9" s="1"/>
  <c r="B19" i="9"/>
  <c r="AQ18" i="2"/>
  <c r="H19" i="9" s="1"/>
  <c r="AG18" i="2"/>
  <c r="D19" i="9" s="1"/>
  <c r="AB38" i="2"/>
  <c r="AB58" i="2"/>
  <c r="F69" i="9" l="1"/>
  <c r="G69" i="9" s="1"/>
  <c r="F39" i="9"/>
  <c r="G39" i="9" s="1"/>
  <c r="G19" i="9"/>
  <c r="D39" i="9"/>
  <c r="E39" i="9" s="1"/>
  <c r="E19" i="9"/>
  <c r="D69" i="9"/>
  <c r="E69" i="9" s="1"/>
  <c r="AQ17" i="2"/>
  <c r="H18" i="9" s="1"/>
  <c r="B18" i="9"/>
  <c r="AL17" i="2"/>
  <c r="F18" i="9" s="1"/>
  <c r="AB37" i="2"/>
  <c r="AG17" i="2"/>
  <c r="D18" i="9" s="1"/>
  <c r="AB57" i="2"/>
  <c r="V15" i="2"/>
  <c r="N15" i="14"/>
  <c r="O15" i="14" s="1"/>
  <c r="K9" i="14"/>
  <c r="L9" i="14" s="1"/>
  <c r="AB16" i="2"/>
  <c r="H3" i="14"/>
  <c r="I3" i="14" s="1"/>
  <c r="AQ38" i="2"/>
  <c r="AG38" i="2"/>
  <c r="AL38" i="2"/>
  <c r="H39" i="9"/>
  <c r="I39" i="9" s="1"/>
  <c r="I19" i="9"/>
  <c r="H69" i="9"/>
  <c r="I69" i="9" s="1"/>
  <c r="AL58" i="2"/>
  <c r="AG58" i="2"/>
  <c r="AQ58" i="2"/>
  <c r="C19" i="9"/>
  <c r="B39" i="9"/>
  <c r="C39" i="9" s="1"/>
  <c r="B69" i="9"/>
  <c r="C69" i="9" s="1"/>
  <c r="AL57" i="2" l="1"/>
  <c r="AQ57" i="2"/>
  <c r="AG57" i="2"/>
  <c r="D38" i="9"/>
  <c r="E38" i="9" s="1"/>
  <c r="E18" i="9"/>
  <c r="D68" i="9"/>
  <c r="E68" i="9" s="1"/>
  <c r="I18" i="9"/>
  <c r="H68" i="9"/>
  <c r="I68" i="9" s="1"/>
  <c r="H38" i="9"/>
  <c r="I38" i="9" s="1"/>
  <c r="B17" i="9"/>
  <c r="AG16" i="2"/>
  <c r="D17" i="9" s="1"/>
  <c r="AQ16" i="2"/>
  <c r="H17" i="9" s="1"/>
  <c r="AL16" i="2"/>
  <c r="F17" i="9" s="1"/>
  <c r="AB36" i="2"/>
  <c r="AB56" i="2"/>
  <c r="AQ37" i="2"/>
  <c r="AG37" i="2"/>
  <c r="AL37" i="2"/>
  <c r="C18" i="9"/>
  <c r="B38" i="9"/>
  <c r="C38" i="9" s="1"/>
  <c r="B68" i="9"/>
  <c r="C68" i="9" s="1"/>
  <c r="N14" i="14"/>
  <c r="O14" i="14" s="1"/>
  <c r="AB15" i="2"/>
  <c r="K8" i="14"/>
  <c r="L8" i="14" s="1"/>
  <c r="V14" i="2"/>
  <c r="F38" i="9"/>
  <c r="G38" i="9" s="1"/>
  <c r="G18" i="9"/>
  <c r="F68" i="9"/>
  <c r="G68" i="9" s="1"/>
  <c r="AB55" i="2" l="1"/>
  <c r="AB35" i="2"/>
  <c r="AL15" i="2"/>
  <c r="F16" i="9" s="1"/>
  <c r="B16" i="9"/>
  <c r="AQ15" i="2"/>
  <c r="H16" i="9" s="1"/>
  <c r="AG15" i="2"/>
  <c r="D16" i="9" s="1"/>
  <c r="AG56" i="2"/>
  <c r="AQ56" i="2"/>
  <c r="AL56" i="2"/>
  <c r="E17" i="9"/>
  <c r="D67" i="9"/>
  <c r="E67" i="9" s="1"/>
  <c r="D37" i="9"/>
  <c r="E37" i="9" s="1"/>
  <c r="AQ36" i="2"/>
  <c r="AG36" i="2"/>
  <c r="AL36" i="2"/>
  <c r="B67" i="9"/>
  <c r="C67" i="9" s="1"/>
  <c r="C17" i="9"/>
  <c r="B37" i="9"/>
  <c r="C37" i="9" s="1"/>
  <c r="I17" i="9"/>
  <c r="H67" i="9"/>
  <c r="I67" i="9" s="1"/>
  <c r="H37" i="9"/>
  <c r="I37" i="9" s="1"/>
  <c r="V13" i="2"/>
  <c r="K7" i="14"/>
  <c r="L7" i="14" s="1"/>
  <c r="AB14" i="2"/>
  <c r="N13" i="14"/>
  <c r="O13" i="14" s="1"/>
  <c r="G17" i="9"/>
  <c r="F67" i="9"/>
  <c r="G67" i="9" s="1"/>
  <c r="F37" i="9"/>
  <c r="G37" i="9" s="1"/>
  <c r="C16" i="9" l="1"/>
  <c r="B36" i="9"/>
  <c r="C36" i="9" s="1"/>
  <c r="B66" i="9"/>
  <c r="C66" i="9" s="1"/>
  <c r="F66" i="9"/>
  <c r="G66" i="9" s="1"/>
  <c r="F36" i="9"/>
  <c r="G36" i="9" s="1"/>
  <c r="G16" i="9"/>
  <c r="D36" i="9"/>
  <c r="E36" i="9" s="1"/>
  <c r="E16" i="9"/>
  <c r="D66" i="9"/>
  <c r="E66" i="9" s="1"/>
  <c r="AG35" i="2"/>
  <c r="AQ35" i="2"/>
  <c r="AL35" i="2"/>
  <c r="AB54" i="2"/>
  <c r="B15" i="9"/>
  <c r="AQ14" i="2"/>
  <c r="H15" i="9" s="1"/>
  <c r="AL14" i="2"/>
  <c r="F15" i="9" s="1"/>
  <c r="AB34" i="2"/>
  <c r="AG14" i="2"/>
  <c r="D15" i="9" s="1"/>
  <c r="N12" i="14"/>
  <c r="O12" i="14" s="1"/>
  <c r="K6" i="14"/>
  <c r="L6" i="14" s="1"/>
  <c r="V12" i="2"/>
  <c r="AB13" i="2"/>
  <c r="H36" i="9"/>
  <c r="I36" i="9" s="1"/>
  <c r="I16" i="9"/>
  <c r="H66" i="9"/>
  <c r="I66" i="9" s="1"/>
  <c r="AL55" i="2"/>
  <c r="AQ55" i="2"/>
  <c r="AG55" i="2"/>
  <c r="H35" i="9" l="1"/>
  <c r="I35" i="9" s="1"/>
  <c r="I15" i="9"/>
  <c r="H65" i="9"/>
  <c r="I65" i="9" s="1"/>
  <c r="D35" i="9"/>
  <c r="E35" i="9" s="1"/>
  <c r="E15" i="9"/>
  <c r="D65" i="9"/>
  <c r="E65" i="9" s="1"/>
  <c r="F65" i="9"/>
  <c r="G65" i="9" s="1"/>
  <c r="F35" i="9"/>
  <c r="G35" i="9" s="1"/>
  <c r="G15" i="9"/>
  <c r="AB53" i="2"/>
  <c r="B14" i="9"/>
  <c r="AB33" i="2"/>
  <c r="AL13" i="2"/>
  <c r="F14" i="9" s="1"/>
  <c r="AQ13" i="2"/>
  <c r="H14" i="9" s="1"/>
  <c r="AG13" i="2"/>
  <c r="D14" i="9" s="1"/>
  <c r="C15" i="9"/>
  <c r="B35" i="9"/>
  <c r="C35" i="9" s="1"/>
  <c r="B65" i="9"/>
  <c r="C65" i="9" s="1"/>
  <c r="AB12" i="2"/>
  <c r="N11" i="14"/>
  <c r="O11" i="14" s="1"/>
  <c r="V11" i="2"/>
  <c r="K5" i="14"/>
  <c r="L5" i="14" s="1"/>
  <c r="AQ34" i="2"/>
  <c r="AL34" i="2"/>
  <c r="AG34" i="2"/>
  <c r="AG54" i="2"/>
  <c r="AQ54" i="2"/>
  <c r="AL54" i="2"/>
  <c r="N10" i="14" l="1"/>
  <c r="O10" i="14" s="1"/>
  <c r="AB11" i="2"/>
  <c r="K4" i="14"/>
  <c r="L4" i="14" s="1"/>
  <c r="V10" i="2"/>
  <c r="D34" i="9"/>
  <c r="E34" i="9" s="1"/>
  <c r="E14" i="9"/>
  <c r="D64" i="9"/>
  <c r="E64" i="9" s="1"/>
  <c r="AQ33" i="2"/>
  <c r="AL33" i="2"/>
  <c r="AG33" i="2"/>
  <c r="B13" i="9"/>
  <c r="AG12" i="2"/>
  <c r="D13" i="9" s="1"/>
  <c r="AB52" i="2"/>
  <c r="AB32" i="2"/>
  <c r="AQ12" i="2"/>
  <c r="H13" i="9" s="1"/>
  <c r="AL12" i="2"/>
  <c r="F13" i="9" s="1"/>
  <c r="C14" i="9"/>
  <c r="B34" i="9"/>
  <c r="C34" i="9" s="1"/>
  <c r="B64" i="9"/>
  <c r="C64" i="9" s="1"/>
  <c r="I14" i="9"/>
  <c r="H64" i="9"/>
  <c r="I64" i="9" s="1"/>
  <c r="H34" i="9"/>
  <c r="I34" i="9" s="1"/>
  <c r="AL53" i="2"/>
  <c r="AG53" i="2"/>
  <c r="AQ53" i="2"/>
  <c r="F34" i="9"/>
  <c r="G34" i="9" s="1"/>
  <c r="G14" i="9"/>
  <c r="F64" i="9"/>
  <c r="G64" i="9" s="1"/>
  <c r="G13" i="9" l="1"/>
  <c r="F63" i="9"/>
  <c r="G63" i="9" s="1"/>
  <c r="F33" i="9"/>
  <c r="G33" i="9" s="1"/>
  <c r="I13" i="9"/>
  <c r="H63" i="9"/>
  <c r="I63" i="9" s="1"/>
  <c r="H33" i="9"/>
  <c r="I33" i="9" s="1"/>
  <c r="B63" i="9"/>
  <c r="C63" i="9" s="1"/>
  <c r="C13" i="9"/>
  <c r="B33" i="9"/>
  <c r="C33" i="9" s="1"/>
  <c r="AQ32" i="2"/>
  <c r="AG32" i="2"/>
  <c r="AL32" i="2"/>
  <c r="AB31" i="2"/>
  <c r="AQ11" i="2"/>
  <c r="H12" i="9" s="1"/>
  <c r="B12" i="9"/>
  <c r="AL11" i="2"/>
  <c r="F12" i="9" s="1"/>
  <c r="AB51" i="2"/>
  <c r="AG11" i="2"/>
  <c r="D12" i="9" s="1"/>
  <c r="E13" i="9"/>
  <c r="D63" i="9"/>
  <c r="E63" i="9" s="1"/>
  <c r="D33" i="9"/>
  <c r="E33" i="9" s="1"/>
  <c r="AB10" i="2"/>
  <c r="N9" i="14"/>
  <c r="O9" i="14" s="1"/>
  <c r="K3" i="14"/>
  <c r="L3" i="14" s="1"/>
  <c r="V9" i="2"/>
  <c r="AG52" i="2"/>
  <c r="AQ52" i="2"/>
  <c r="AL52" i="2"/>
  <c r="F62" i="9" l="1"/>
  <c r="G62" i="9" s="1"/>
  <c r="F32" i="9"/>
  <c r="G32" i="9" s="1"/>
  <c r="G12" i="9"/>
  <c r="C12" i="9"/>
  <c r="B32" i="9"/>
  <c r="C32" i="9" s="1"/>
  <c r="B62" i="9"/>
  <c r="C62" i="9" s="1"/>
  <c r="AB30" i="2"/>
  <c r="B11" i="9"/>
  <c r="AQ10" i="2"/>
  <c r="H11" i="9" s="1"/>
  <c r="AB50" i="2"/>
  <c r="AG10" i="2"/>
  <c r="D11" i="9" s="1"/>
  <c r="AL10" i="2"/>
  <c r="F11" i="9" s="1"/>
  <c r="D32" i="9"/>
  <c r="E32" i="9" s="1"/>
  <c r="E12" i="9"/>
  <c r="D62" i="9"/>
  <c r="E62" i="9" s="1"/>
  <c r="H32" i="9"/>
  <c r="I32" i="9" s="1"/>
  <c r="I12" i="9"/>
  <c r="H62" i="9"/>
  <c r="I62" i="9" s="1"/>
  <c r="N8" i="14"/>
  <c r="O8" i="14" s="1"/>
  <c r="V8" i="2"/>
  <c r="AB9" i="2"/>
  <c r="AL51" i="2"/>
  <c r="AQ51" i="2"/>
  <c r="AG51" i="2"/>
  <c r="AG31" i="2"/>
  <c r="AQ31" i="2"/>
  <c r="AL31" i="2"/>
  <c r="B31" i="9" l="1"/>
  <c r="C31" i="9" s="1"/>
  <c r="B61" i="9"/>
  <c r="C61" i="9" s="1"/>
  <c r="C11" i="9"/>
  <c r="D31" i="9"/>
  <c r="E31" i="9" s="1"/>
  <c r="E11" i="9"/>
  <c r="D61" i="9"/>
  <c r="E61" i="9" s="1"/>
  <c r="AG30" i="2"/>
  <c r="AL30" i="2"/>
  <c r="AQ30" i="2"/>
  <c r="AQ50" i="2"/>
  <c r="AL50" i="2"/>
  <c r="AG50" i="2"/>
  <c r="V7" i="2"/>
  <c r="N7" i="14"/>
  <c r="O7" i="14" s="1"/>
  <c r="AB8" i="2"/>
  <c r="F61" i="9"/>
  <c r="G61" i="9" s="1"/>
  <c r="F31" i="9"/>
  <c r="G31" i="9" s="1"/>
  <c r="G11" i="9"/>
  <c r="AG9" i="2"/>
  <c r="D10" i="9" s="1"/>
  <c r="B10" i="9"/>
  <c r="AQ9" i="2"/>
  <c r="H10" i="9" s="1"/>
  <c r="AL9" i="2"/>
  <c r="F10" i="9" s="1"/>
  <c r="AB29" i="2"/>
  <c r="AB49" i="2"/>
  <c r="H31" i="9"/>
  <c r="I31" i="9" s="1"/>
  <c r="I11" i="9"/>
  <c r="H61" i="9"/>
  <c r="I61" i="9" s="1"/>
  <c r="C10" i="9" l="1"/>
  <c r="B30" i="9"/>
  <c r="C30" i="9" s="1"/>
  <c r="B60" i="9"/>
  <c r="C60" i="9" s="1"/>
  <c r="AQ29" i="2"/>
  <c r="AL29" i="2"/>
  <c r="AG29" i="2"/>
  <c r="E10" i="9"/>
  <c r="D30" i="9"/>
  <c r="E30" i="9" s="1"/>
  <c r="D60" i="9"/>
  <c r="E60" i="9" s="1"/>
  <c r="AB48" i="2"/>
  <c r="B9" i="9"/>
  <c r="AQ8" i="2"/>
  <c r="H9" i="9" s="1"/>
  <c r="AB28" i="2"/>
  <c r="AG8" i="2"/>
  <c r="D9" i="9" s="1"/>
  <c r="AL8" i="2"/>
  <c r="F9" i="9" s="1"/>
  <c r="G10" i="9"/>
  <c r="F30" i="9"/>
  <c r="G30" i="9" s="1"/>
  <c r="F60" i="9"/>
  <c r="G60" i="9" s="1"/>
  <c r="AL49" i="2"/>
  <c r="AQ49" i="2"/>
  <c r="AG49" i="2"/>
  <c r="I10" i="9"/>
  <c r="H60" i="9"/>
  <c r="I60" i="9" s="1"/>
  <c r="H30" i="9"/>
  <c r="I30" i="9" s="1"/>
  <c r="AB7" i="2"/>
  <c r="N6" i="14"/>
  <c r="O6" i="14" s="1"/>
  <c r="V6" i="2"/>
  <c r="N5" i="14" l="1"/>
  <c r="O5" i="14" s="1"/>
  <c r="V5" i="2"/>
  <c r="AB6" i="2"/>
  <c r="G9" i="9"/>
  <c r="F59" i="9"/>
  <c r="G59" i="9" s="1"/>
  <c r="F29" i="9"/>
  <c r="G29" i="9" s="1"/>
  <c r="B59" i="9"/>
  <c r="C59" i="9" s="1"/>
  <c r="C9" i="9"/>
  <c r="B29" i="9"/>
  <c r="C29" i="9" s="1"/>
  <c r="I9" i="9"/>
  <c r="H59" i="9"/>
  <c r="I59" i="9" s="1"/>
  <c r="H29" i="9"/>
  <c r="I29" i="9" s="1"/>
  <c r="D59" i="9"/>
  <c r="E59" i="9" s="1"/>
  <c r="E9" i="9"/>
  <c r="D29" i="9"/>
  <c r="E29" i="9" s="1"/>
  <c r="AL48" i="2"/>
  <c r="AQ48" i="2"/>
  <c r="AG48" i="2"/>
  <c r="AB47" i="2"/>
  <c r="AL7" i="2"/>
  <c r="F8" i="9" s="1"/>
  <c r="AG7" i="2"/>
  <c r="D8" i="9" s="1"/>
  <c r="B8" i="9"/>
  <c r="AB27" i="2"/>
  <c r="AQ7" i="2"/>
  <c r="H8" i="9" s="1"/>
  <c r="AQ28" i="2"/>
  <c r="AG28" i="2"/>
  <c r="AL28" i="2"/>
  <c r="I8" i="9" l="1"/>
  <c r="H28" i="9"/>
  <c r="I28" i="9" s="1"/>
  <c r="H58" i="9"/>
  <c r="I58" i="9" s="1"/>
  <c r="AL27" i="2"/>
  <c r="AG27" i="2"/>
  <c r="AQ27" i="2"/>
  <c r="AQ47" i="2"/>
  <c r="AG47" i="2"/>
  <c r="AL47" i="2"/>
  <c r="B7" i="9"/>
  <c r="AB26" i="2"/>
  <c r="AB46" i="2"/>
  <c r="AG6" i="2"/>
  <c r="D7" i="9" s="1"/>
  <c r="AL6" i="2"/>
  <c r="F7" i="9" s="1"/>
  <c r="AQ6" i="2"/>
  <c r="H7" i="9" s="1"/>
  <c r="B28" i="9"/>
  <c r="B58" i="9"/>
  <c r="N4" i="14"/>
  <c r="O4" i="14" s="1"/>
  <c r="AB5" i="2"/>
  <c r="V4" i="2"/>
  <c r="F58" i="9"/>
  <c r="F28" i="9"/>
  <c r="D28" i="9"/>
  <c r="D58" i="9"/>
  <c r="B6" i="9" l="1"/>
  <c r="AB45" i="2"/>
  <c r="AQ5" i="2"/>
  <c r="H6" i="9" s="1"/>
  <c r="AG5" i="2"/>
  <c r="D6" i="9" s="1"/>
  <c r="AB25" i="2"/>
  <c r="AL5" i="2"/>
  <c r="F6" i="9" s="1"/>
  <c r="H27" i="9"/>
  <c r="H57" i="9"/>
  <c r="AG26" i="2"/>
  <c r="AQ26" i="2"/>
  <c r="AL26" i="2"/>
  <c r="N3" i="14"/>
  <c r="O3" i="14" s="1"/>
  <c r="AB4" i="2"/>
  <c r="AQ46" i="2"/>
  <c r="AG46" i="2"/>
  <c r="AL46" i="2"/>
  <c r="F57" i="9"/>
  <c r="F27" i="9"/>
  <c r="B27" i="9"/>
  <c r="B57" i="9"/>
  <c r="D27" i="9"/>
  <c r="D57" i="9"/>
  <c r="D56" i="9" l="1"/>
  <c r="D26" i="9"/>
  <c r="H56" i="9"/>
  <c r="H26" i="9"/>
  <c r="F56" i="9"/>
  <c r="F26" i="9"/>
  <c r="AG45" i="2"/>
  <c r="AL45" i="2"/>
  <c r="AQ45" i="2"/>
  <c r="B5" i="9"/>
  <c r="AB24" i="2"/>
  <c r="AG4" i="2"/>
  <c r="D5" i="9" s="1"/>
  <c r="AB44" i="2"/>
  <c r="AQ4" i="2"/>
  <c r="H5" i="9" s="1"/>
  <c r="AL4" i="2"/>
  <c r="F5" i="9" s="1"/>
  <c r="AQ25" i="2"/>
  <c r="AG25" i="2"/>
  <c r="AL25" i="2"/>
  <c r="B56" i="9"/>
  <c r="B26" i="9"/>
  <c r="D25" i="9" l="1"/>
  <c r="D55" i="9"/>
  <c r="F25" i="9"/>
  <c r="F55" i="9"/>
  <c r="AL24" i="2"/>
  <c r="AG24" i="2"/>
  <c r="AQ24" i="2"/>
  <c r="B55" i="9"/>
  <c r="B25" i="9"/>
  <c r="H25" i="9"/>
  <c r="H55" i="9"/>
  <c r="AQ44" i="2"/>
  <c r="AG44" i="2"/>
  <c r="AL44" i="2"/>
</calcChain>
</file>

<file path=xl/sharedStrings.xml><?xml version="1.0" encoding="utf-8"?>
<sst xmlns="http://schemas.openxmlformats.org/spreadsheetml/2006/main" count="341" uniqueCount="71">
  <si>
    <t>P.V.</t>
  </si>
  <si>
    <t>A</t>
  </si>
  <si>
    <t>B</t>
  </si>
  <si>
    <t>C</t>
  </si>
  <si>
    <t>D</t>
  </si>
  <si>
    <t>E</t>
  </si>
  <si>
    <t>I</t>
  </si>
  <si>
    <t>II</t>
  </si>
  <si>
    <t>III</t>
  </si>
  <si>
    <t>IV</t>
  </si>
  <si>
    <t>PISO</t>
  </si>
  <si>
    <t>STEP</t>
  </si>
  <si>
    <t>ESPC. 40 H.</t>
  </si>
  <si>
    <t>MEST. 40 H.</t>
  </si>
  <si>
    <t>DOUT. 40 H.</t>
  </si>
  <si>
    <t xml:space="preserve">GRAD. </t>
  </si>
  <si>
    <t>CARREIRA ÚNICA COM 13 NÍVEIS</t>
  </si>
  <si>
    <t>DOCENTES 20H</t>
  </si>
  <si>
    <t>MODELO DA TABELA REESTRUTURADA</t>
  </si>
  <si>
    <t>REGRAS DE ENQUADRAMENTO NA REESTRUTURAÇÃO DA CARREIRA</t>
  </si>
  <si>
    <t>ATUAL</t>
  </si>
  <si>
    <t>NOVO</t>
  </si>
  <si>
    <t>TÉCNICOS ADMINISTRATIVOS</t>
  </si>
  <si>
    <t>DOCENTES</t>
  </si>
  <si>
    <t>TITULAR</t>
  </si>
  <si>
    <t>D-IV  4</t>
  </si>
  <si>
    <t>D-IV  3</t>
  </si>
  <si>
    <t>D-IV  2</t>
  </si>
  <si>
    <t>D-IV  1</t>
  </si>
  <si>
    <t>D-III  4</t>
  </si>
  <si>
    <t>D-III  3</t>
  </si>
  <si>
    <t>D-III  2</t>
  </si>
  <si>
    <t>D-III  1</t>
  </si>
  <si>
    <t>D-II  2</t>
  </si>
  <si>
    <t>D-II  1</t>
  </si>
  <si>
    <t>D-I  2</t>
  </si>
  <si>
    <t>D-I  1</t>
  </si>
  <si>
    <t>TECNICOS ADMINISTRATIVOS  /  DOCENTES 40H</t>
  </si>
  <si>
    <t>DOCENTES DE</t>
  </si>
  <si>
    <t>PCCTAE 2017</t>
  </si>
  <si>
    <t>V.B</t>
  </si>
  <si>
    <t>PCCTAE 2023</t>
  </si>
  <si>
    <t>P.V</t>
  </si>
  <si>
    <t xml:space="preserve">V.B   C </t>
  </si>
  <si>
    <t>AUM.%</t>
  </si>
  <si>
    <t xml:space="preserve">V.B  B  </t>
  </si>
  <si>
    <t xml:space="preserve">V.B   A </t>
  </si>
  <si>
    <t>V.B D</t>
  </si>
  <si>
    <t>V.B E</t>
  </si>
  <si>
    <t>AUMENTO % DOCENTES</t>
  </si>
  <si>
    <t>PV</t>
  </si>
  <si>
    <t>V.B GRA</t>
  </si>
  <si>
    <t>V.B ESP</t>
  </si>
  <si>
    <t>V.B DOU</t>
  </si>
  <si>
    <t>DOCENTES 40 H</t>
  </si>
  <si>
    <t>CLASSE</t>
  </si>
  <si>
    <t>NÍVEL</t>
  </si>
  <si>
    <t>GRADUAÇÃO</t>
  </si>
  <si>
    <t>APERFEIÇOAMENTO</t>
  </si>
  <si>
    <t>ESPECIALIZAÇÃO</t>
  </si>
  <si>
    <t xml:space="preserve">MESTRADO </t>
  </si>
  <si>
    <t>DOUTORADO</t>
  </si>
  <si>
    <t>VENC.</t>
  </si>
  <si>
    <t>RT.</t>
  </si>
  <si>
    <t>TOTAL</t>
  </si>
  <si>
    <t>D IV</t>
  </si>
  <si>
    <t>D III</t>
  </si>
  <si>
    <t>DII</t>
  </si>
  <si>
    <t>DI</t>
  </si>
  <si>
    <t>DOCENTES 40H</t>
  </si>
  <si>
    <t>V.B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</si>
</sst>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2060"/>
      <name val="Calibri"/>
      <family val="2"/>
      <scheme val="minor"/>
    </font>
    <font>
      <b/>
      <sz val="12"/>
      <color indexed="1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2"/>
      <color indexed="12"/>
      <name val="Calibri"/>
      <family val="2"/>
    </font>
    <font>
      <b/>
      <sz val="12"/>
      <color indexed="16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CCFFFF"/>
        <bgColor indexed="42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41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46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42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5">
    <xf numFmtId="0" fontId="0" fillId="0" borderId="0" xfId="0"/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67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5" borderId="66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vertical="center"/>
    </xf>
    <xf numFmtId="0" fontId="3" fillId="14" borderId="25" xfId="0" applyFont="1" applyFill="1" applyBorder="1" applyAlignment="1">
      <alignment vertical="center"/>
    </xf>
    <xf numFmtId="4" fontId="4" fillId="12" borderId="25" xfId="0" applyNumberFormat="1" applyFont="1" applyFill="1" applyBorder="1" applyAlignment="1">
      <alignment vertical="center"/>
    </xf>
    <xf numFmtId="10" fontId="4" fillId="14" borderId="25" xfId="0" applyNumberFormat="1" applyFont="1" applyFill="1" applyBorder="1" applyAlignment="1">
      <alignment vertical="center"/>
    </xf>
    <xf numFmtId="0" fontId="1" fillId="11" borderId="25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vertical="center"/>
    </xf>
    <xf numFmtId="0" fontId="3" fillId="14" borderId="46" xfId="0" applyFont="1" applyFill="1" applyBorder="1" applyAlignment="1">
      <alignment vertical="center"/>
    </xf>
    <xf numFmtId="4" fontId="4" fillId="12" borderId="71" xfId="0" applyNumberFormat="1" applyFont="1" applyFill="1" applyBorder="1" applyAlignment="1">
      <alignment vertical="center"/>
    </xf>
    <xf numFmtId="10" fontId="4" fillId="14" borderId="46" xfId="0" applyNumberFormat="1" applyFont="1" applyFill="1" applyBorder="1" applyAlignment="1">
      <alignment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/>
    </xf>
    <xf numFmtId="0" fontId="3" fillId="12" borderId="77" xfId="0" applyFont="1" applyFill="1" applyBorder="1" applyAlignment="1">
      <alignment vertical="center"/>
    </xf>
    <xf numFmtId="4" fontId="4" fillId="12" borderId="77" xfId="0" applyNumberFormat="1" applyFont="1" applyFill="1" applyBorder="1" applyAlignment="1">
      <alignment vertical="center"/>
    </xf>
    <xf numFmtId="0" fontId="1" fillId="3" borderId="82" xfId="0" applyFont="1" applyFill="1" applyBorder="1" applyAlignment="1">
      <alignment horizontal="center" vertical="center"/>
    </xf>
    <xf numFmtId="0" fontId="1" fillId="5" borderId="8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71" xfId="0" applyFont="1" applyFill="1" applyBorder="1" applyAlignment="1">
      <alignment horizontal="center" vertical="center"/>
    </xf>
    <xf numFmtId="0" fontId="3" fillId="14" borderId="71" xfId="0" applyFont="1" applyFill="1" applyBorder="1" applyAlignment="1">
      <alignment vertical="center"/>
    </xf>
    <xf numFmtId="10" fontId="4" fillId="14" borderId="71" xfId="0" applyNumberFormat="1" applyFont="1" applyFill="1" applyBorder="1" applyAlignment="1">
      <alignment vertical="center"/>
    </xf>
    <xf numFmtId="0" fontId="1" fillId="4" borderId="80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0" xfId="0" applyFont="1"/>
    <xf numFmtId="0" fontId="0" fillId="0" borderId="30" xfId="0" applyBorder="1"/>
    <xf numFmtId="0" fontId="6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0" fontId="0" fillId="0" borderId="31" xfId="0" applyBorder="1"/>
    <xf numFmtId="0" fontId="0" fillId="0" borderId="32" xfId="0" applyBorder="1"/>
    <xf numFmtId="0" fontId="0" fillId="0" borderId="84" xfId="0" applyBorder="1"/>
    <xf numFmtId="0" fontId="0" fillId="0" borderId="44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/>
    <xf numFmtId="2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85" xfId="0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9" fillId="2" borderId="87" xfId="0" applyFont="1" applyFill="1" applyBorder="1" applyAlignment="1">
      <alignment horizontal="center"/>
    </xf>
    <xf numFmtId="0" fontId="9" fillId="3" borderId="85" xfId="0" applyFont="1" applyFill="1" applyBorder="1" applyAlignment="1">
      <alignment horizontal="center"/>
    </xf>
    <xf numFmtId="0" fontId="9" fillId="3" borderId="86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"/>
    </xf>
    <xf numFmtId="0" fontId="9" fillId="4" borderId="86" xfId="0" applyFont="1" applyFill="1" applyBorder="1" applyAlignment="1">
      <alignment horizontal="center"/>
    </xf>
    <xf numFmtId="0" fontId="9" fillId="4" borderId="87" xfId="0" applyFont="1" applyFill="1" applyBorder="1" applyAlignment="1">
      <alignment horizontal="center"/>
    </xf>
    <xf numFmtId="0" fontId="9" fillId="5" borderId="85" xfId="0" applyFont="1" applyFill="1" applyBorder="1" applyAlignment="1">
      <alignment horizontal="center"/>
    </xf>
    <xf numFmtId="0" fontId="9" fillId="5" borderId="86" xfId="0" applyFont="1" applyFill="1" applyBorder="1" applyAlignment="1">
      <alignment horizontal="center"/>
    </xf>
    <xf numFmtId="0" fontId="9" fillId="5" borderId="87" xfId="0" applyFont="1" applyFill="1" applyBorder="1" applyAlignment="1">
      <alignment horizontal="center"/>
    </xf>
    <xf numFmtId="0" fontId="9" fillId="6" borderId="85" xfId="0" applyFont="1" applyFill="1" applyBorder="1" applyAlignment="1">
      <alignment horizontal="center"/>
    </xf>
    <xf numFmtId="0" fontId="9" fillId="6" borderId="86" xfId="0" applyFont="1" applyFill="1" applyBorder="1" applyAlignment="1">
      <alignment horizontal="center"/>
    </xf>
    <xf numFmtId="0" fontId="9" fillId="6" borderId="87" xfId="0" applyFont="1" applyFill="1" applyBorder="1" applyAlignment="1">
      <alignment horizontal="center"/>
    </xf>
    <xf numFmtId="0" fontId="9" fillId="0" borderId="88" xfId="0" applyFont="1" applyBorder="1" applyAlignment="1">
      <alignment horizontal="center"/>
    </xf>
    <xf numFmtId="0" fontId="9" fillId="2" borderId="89" xfId="0" applyFont="1" applyFill="1" applyBorder="1"/>
    <xf numFmtId="0" fontId="9" fillId="2" borderId="90" xfId="0" applyFont="1" applyFill="1" applyBorder="1"/>
    <xf numFmtId="0" fontId="9" fillId="2" borderId="91" xfId="0" applyFont="1" applyFill="1" applyBorder="1"/>
    <xf numFmtId="0" fontId="9" fillId="3" borderId="89" xfId="0" applyFont="1" applyFill="1" applyBorder="1"/>
    <xf numFmtId="0" fontId="9" fillId="3" borderId="90" xfId="0" applyFont="1" applyFill="1" applyBorder="1"/>
    <xf numFmtId="0" fontId="9" fillId="3" borderId="91" xfId="0" applyFont="1" applyFill="1" applyBorder="1"/>
    <xf numFmtId="0" fontId="9" fillId="4" borderId="89" xfId="0" applyFont="1" applyFill="1" applyBorder="1"/>
    <xf numFmtId="0" fontId="9" fillId="4" borderId="90" xfId="0" applyFont="1" applyFill="1" applyBorder="1"/>
    <xf numFmtId="0" fontId="9" fillId="4" borderId="91" xfId="0" applyFont="1" applyFill="1" applyBorder="1"/>
    <xf numFmtId="0" fontId="9" fillId="5" borderId="4" xfId="0" applyFont="1" applyFill="1" applyBorder="1"/>
    <xf numFmtId="0" fontId="9" fillId="5" borderId="5" xfId="0" applyFont="1" applyFill="1" applyBorder="1"/>
    <xf numFmtId="0" fontId="9" fillId="5" borderId="6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9" fillId="6" borderId="6" xfId="0" applyFont="1" applyFill="1" applyBorder="1"/>
    <xf numFmtId="4" fontId="11" fillId="0" borderId="95" xfId="0" applyNumberFormat="1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4" borderId="6" xfId="0" applyFont="1" applyFill="1" applyBorder="1"/>
    <xf numFmtId="4" fontId="11" fillId="0" borderId="7" xfId="0" applyNumberFormat="1" applyFont="1" applyBorder="1" applyAlignment="1">
      <alignment horizontal="center"/>
    </xf>
    <xf numFmtId="0" fontId="9" fillId="17" borderId="4" xfId="0" applyFont="1" applyFill="1" applyBorder="1"/>
    <xf numFmtId="0" fontId="9" fillId="17" borderId="5" xfId="0" applyFont="1" applyFill="1" applyBorder="1"/>
    <xf numFmtId="0" fontId="9" fillId="17" borderId="6" xfId="0" applyFont="1" applyFill="1" applyBorder="1"/>
    <xf numFmtId="0" fontId="9" fillId="18" borderId="4" xfId="0" applyFont="1" applyFill="1" applyBorder="1"/>
    <xf numFmtId="0" fontId="9" fillId="18" borderId="5" xfId="0" applyFont="1" applyFill="1" applyBorder="1"/>
    <xf numFmtId="0" fontId="9" fillId="18" borderId="6" xfId="0" applyFont="1" applyFill="1" applyBorder="1"/>
    <xf numFmtId="0" fontId="9" fillId="0" borderId="93" xfId="0" applyFont="1" applyBorder="1" applyAlignment="1">
      <alignment horizontal="center"/>
    </xf>
    <xf numFmtId="0" fontId="9" fillId="2" borderId="85" xfId="0" applyFont="1" applyFill="1" applyBorder="1"/>
    <xf numFmtId="0" fontId="9" fillId="2" borderId="86" xfId="0" applyFont="1" applyFill="1" applyBorder="1"/>
    <xf numFmtId="0" fontId="9" fillId="2" borderId="87" xfId="0" applyFont="1" applyFill="1" applyBorder="1"/>
    <xf numFmtId="0" fontId="9" fillId="3" borderId="85" xfId="0" applyFont="1" applyFill="1" applyBorder="1"/>
    <xf numFmtId="0" fontId="9" fillId="3" borderId="86" xfId="0" applyFont="1" applyFill="1" applyBorder="1"/>
    <xf numFmtId="0" fontId="9" fillId="3" borderId="87" xfId="0" applyFont="1" applyFill="1" applyBorder="1"/>
    <xf numFmtId="0" fontId="9" fillId="4" borderId="85" xfId="0" applyFont="1" applyFill="1" applyBorder="1"/>
    <xf numFmtId="0" fontId="9" fillId="4" borderId="86" xfId="0" applyFont="1" applyFill="1" applyBorder="1"/>
    <xf numFmtId="0" fontId="9" fillId="4" borderId="87" xfId="0" applyFont="1" applyFill="1" applyBorder="1"/>
    <xf numFmtId="0" fontId="9" fillId="5" borderId="85" xfId="0" applyFont="1" applyFill="1" applyBorder="1"/>
    <xf numFmtId="0" fontId="9" fillId="5" borderId="86" xfId="0" applyFont="1" applyFill="1" applyBorder="1"/>
    <xf numFmtId="0" fontId="9" fillId="5" borderId="87" xfId="0" applyFont="1" applyFill="1" applyBorder="1"/>
    <xf numFmtId="0" fontId="9" fillId="6" borderId="85" xfId="0" applyFont="1" applyFill="1" applyBorder="1"/>
    <xf numFmtId="0" fontId="9" fillId="6" borderId="86" xfId="0" applyFont="1" applyFill="1" applyBorder="1"/>
    <xf numFmtId="0" fontId="9" fillId="6" borderId="87" xfId="0" applyFont="1" applyFill="1" applyBorder="1"/>
    <xf numFmtId="4" fontId="11" fillId="0" borderId="94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0" fontId="15" fillId="2" borderId="4" xfId="0" applyFont="1" applyFill="1" applyBorder="1"/>
    <xf numFmtId="0" fontId="15" fillId="2" borderId="85" xfId="0" applyFont="1" applyFill="1" applyBorder="1" applyAlignment="1">
      <alignment horizontal="center"/>
    </xf>
    <xf numFmtId="0" fontId="15" fillId="2" borderId="86" xfId="0" applyFont="1" applyFill="1" applyBorder="1" applyAlignment="1">
      <alignment horizontal="center"/>
    </xf>
    <xf numFmtId="0" fontId="15" fillId="2" borderId="87" xfId="0" applyFont="1" applyFill="1" applyBorder="1" applyAlignment="1">
      <alignment horizontal="center"/>
    </xf>
    <xf numFmtId="0" fontId="15" fillId="3" borderId="85" xfId="0" applyFont="1" applyFill="1" applyBorder="1" applyAlignment="1">
      <alignment horizontal="center"/>
    </xf>
    <xf numFmtId="0" fontId="15" fillId="3" borderId="86" xfId="0" applyFont="1" applyFill="1" applyBorder="1" applyAlignment="1">
      <alignment horizontal="center"/>
    </xf>
    <xf numFmtId="0" fontId="15" fillId="3" borderId="87" xfId="0" applyFont="1" applyFill="1" applyBorder="1" applyAlignment="1">
      <alignment horizontal="center"/>
    </xf>
    <xf numFmtId="0" fontId="15" fillId="4" borderId="85" xfId="0" applyFont="1" applyFill="1" applyBorder="1" applyAlignment="1">
      <alignment horizontal="center"/>
    </xf>
    <xf numFmtId="0" fontId="15" fillId="4" borderId="86" xfId="0" applyFont="1" applyFill="1" applyBorder="1" applyAlignment="1">
      <alignment horizontal="center"/>
    </xf>
    <xf numFmtId="0" fontId="15" fillId="4" borderId="87" xfId="0" applyFont="1" applyFill="1" applyBorder="1" applyAlignment="1">
      <alignment horizontal="center"/>
    </xf>
    <xf numFmtId="0" fontId="15" fillId="5" borderId="85" xfId="0" applyFont="1" applyFill="1" applyBorder="1" applyAlignment="1">
      <alignment horizontal="center"/>
    </xf>
    <xf numFmtId="0" fontId="15" fillId="5" borderId="86" xfId="0" applyFont="1" applyFill="1" applyBorder="1" applyAlignment="1">
      <alignment horizontal="center"/>
    </xf>
    <xf numFmtId="0" fontId="15" fillId="5" borderId="87" xfId="0" applyFont="1" applyFill="1" applyBorder="1" applyAlignment="1">
      <alignment horizontal="center"/>
    </xf>
    <xf numFmtId="0" fontId="15" fillId="6" borderId="85" xfId="0" applyFont="1" applyFill="1" applyBorder="1" applyAlignment="1">
      <alignment horizontal="center"/>
    </xf>
    <xf numFmtId="0" fontId="15" fillId="6" borderId="86" xfId="0" applyFont="1" applyFill="1" applyBorder="1" applyAlignment="1">
      <alignment horizontal="center"/>
    </xf>
    <xf numFmtId="0" fontId="15" fillId="6" borderId="87" xfId="0" applyFont="1" applyFill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5" fillId="2" borderId="89" xfId="0" applyFont="1" applyFill="1" applyBorder="1"/>
    <xf numFmtId="0" fontId="15" fillId="2" borderId="90" xfId="0" applyFont="1" applyFill="1" applyBorder="1"/>
    <xf numFmtId="0" fontId="15" fillId="2" borderId="91" xfId="0" applyFont="1" applyFill="1" applyBorder="1"/>
    <xf numFmtId="0" fontId="15" fillId="3" borderId="89" xfId="0" applyFont="1" applyFill="1" applyBorder="1"/>
    <xf numFmtId="0" fontId="15" fillId="3" borderId="90" xfId="0" applyFont="1" applyFill="1" applyBorder="1"/>
    <xf numFmtId="0" fontId="15" fillId="3" borderId="91" xfId="0" applyFont="1" applyFill="1" applyBorder="1"/>
    <xf numFmtId="0" fontId="15" fillId="4" borderId="89" xfId="0" applyFont="1" applyFill="1" applyBorder="1"/>
    <xf numFmtId="0" fontId="15" fillId="4" borderId="90" xfId="0" applyFont="1" applyFill="1" applyBorder="1"/>
    <xf numFmtId="0" fontId="15" fillId="4" borderId="91" xfId="0" applyFont="1" applyFill="1" applyBorder="1"/>
    <xf numFmtId="0" fontId="15" fillId="5" borderId="4" xfId="0" applyFont="1" applyFill="1" applyBorder="1"/>
    <xf numFmtId="0" fontId="15" fillId="5" borderId="5" xfId="0" applyFont="1" applyFill="1" applyBorder="1"/>
    <xf numFmtId="0" fontId="15" fillId="5" borderId="6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15" fillId="6" borderId="6" xfId="0" applyFont="1" applyFill="1" applyBorder="1"/>
    <xf numFmtId="4" fontId="14" fillId="0" borderId="95" xfId="0" applyNumberFormat="1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2" borderId="5" xfId="0" applyFont="1" applyFill="1" applyBorder="1"/>
    <xf numFmtId="0" fontId="15" fillId="2" borderId="6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  <xf numFmtId="0" fontId="15" fillId="4" borderId="4" xfId="0" applyFont="1" applyFill="1" applyBorder="1"/>
    <xf numFmtId="0" fontId="15" fillId="4" borderId="5" xfId="0" applyFont="1" applyFill="1" applyBorder="1"/>
    <xf numFmtId="0" fontId="15" fillId="4" borderId="6" xfId="0" applyFont="1" applyFill="1" applyBorder="1"/>
    <xf numFmtId="0" fontId="15" fillId="17" borderId="4" xfId="0" applyFont="1" applyFill="1" applyBorder="1"/>
    <xf numFmtId="0" fontId="15" fillId="17" borderId="5" xfId="0" applyFont="1" applyFill="1" applyBorder="1"/>
    <xf numFmtId="0" fontId="15" fillId="17" borderId="6" xfId="0" applyFont="1" applyFill="1" applyBorder="1"/>
    <xf numFmtId="0" fontId="15" fillId="18" borderId="4" xfId="0" applyFont="1" applyFill="1" applyBorder="1"/>
    <xf numFmtId="0" fontId="15" fillId="18" borderId="5" xfId="0" applyFont="1" applyFill="1" applyBorder="1"/>
    <xf numFmtId="0" fontId="15" fillId="18" borderId="6" xfId="0" applyFont="1" applyFill="1" applyBorder="1"/>
    <xf numFmtId="0" fontId="15" fillId="0" borderId="93" xfId="0" applyFont="1" applyBorder="1" applyAlignment="1">
      <alignment horizontal="center"/>
    </xf>
    <xf numFmtId="0" fontId="15" fillId="2" borderId="85" xfId="0" applyFont="1" applyFill="1" applyBorder="1"/>
    <xf numFmtId="0" fontId="15" fillId="2" borderId="86" xfId="0" applyFont="1" applyFill="1" applyBorder="1"/>
    <xf numFmtId="0" fontId="15" fillId="2" borderId="87" xfId="0" applyFont="1" applyFill="1" applyBorder="1"/>
    <xf numFmtId="0" fontId="15" fillId="3" borderId="85" xfId="0" applyFont="1" applyFill="1" applyBorder="1"/>
    <xf numFmtId="0" fontId="15" fillId="3" borderId="86" xfId="0" applyFont="1" applyFill="1" applyBorder="1"/>
    <xf numFmtId="0" fontId="15" fillId="3" borderId="87" xfId="0" applyFont="1" applyFill="1" applyBorder="1"/>
    <xf numFmtId="0" fontId="15" fillId="4" borderId="85" xfId="0" applyFont="1" applyFill="1" applyBorder="1"/>
    <xf numFmtId="0" fontId="15" fillId="4" borderId="86" xfId="0" applyFont="1" applyFill="1" applyBorder="1"/>
    <xf numFmtId="0" fontId="15" fillId="4" borderId="87" xfId="0" applyFont="1" applyFill="1" applyBorder="1"/>
    <xf numFmtId="0" fontId="15" fillId="5" borderId="85" xfId="0" applyFont="1" applyFill="1" applyBorder="1"/>
    <xf numFmtId="0" fontId="15" fillId="5" borderId="86" xfId="0" applyFont="1" applyFill="1" applyBorder="1"/>
    <xf numFmtId="0" fontId="15" fillId="5" borderId="87" xfId="0" applyFont="1" applyFill="1" applyBorder="1"/>
    <xf numFmtId="0" fontId="15" fillId="6" borderId="85" xfId="0" applyFont="1" applyFill="1" applyBorder="1"/>
    <xf numFmtId="0" fontId="15" fillId="6" borderId="86" xfId="0" applyFont="1" applyFill="1" applyBorder="1"/>
    <xf numFmtId="0" fontId="15" fillId="6" borderId="87" xfId="0" applyFont="1" applyFill="1" applyBorder="1"/>
    <xf numFmtId="4" fontId="14" fillId="0" borderId="94" xfId="0" applyNumberFormat="1" applyFont="1" applyBorder="1" applyAlignment="1">
      <alignment horizontal="center"/>
    </xf>
    <xf numFmtId="0" fontId="20" fillId="0" borderId="0" xfId="0" applyFont="1"/>
    <xf numFmtId="0" fontId="5" fillId="0" borderId="0" xfId="0" applyFont="1"/>
    <xf numFmtId="0" fontId="15" fillId="2" borderId="5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15" borderId="2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4" fontId="23" fillId="0" borderId="36" xfId="0" applyNumberFormat="1" applyFont="1" applyBorder="1"/>
    <xf numFmtId="0" fontId="15" fillId="6" borderId="17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4" fontId="23" fillId="0" borderId="37" xfId="0" applyNumberFormat="1" applyFont="1" applyBorder="1"/>
    <xf numFmtId="0" fontId="15" fillId="8" borderId="20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40" xfId="0" applyFont="1" applyFill="1" applyBorder="1" applyAlignment="1">
      <alignment horizontal="center" vertical="center"/>
    </xf>
    <xf numFmtId="4" fontId="23" fillId="0" borderId="38" xfId="0" applyNumberFormat="1" applyFont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4" fontId="23" fillId="0" borderId="38" xfId="0" applyNumberFormat="1" applyFont="1" applyBorder="1"/>
    <xf numFmtId="0" fontId="15" fillId="6" borderId="12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15" fillId="8" borderId="61" xfId="0" applyFont="1" applyFill="1" applyBorder="1" applyAlignment="1">
      <alignment horizontal="center" vertical="center"/>
    </xf>
    <xf numFmtId="0" fontId="0" fillId="7" borderId="0" xfId="0" applyFill="1"/>
    <xf numFmtId="164" fontId="0" fillId="0" borderId="0" xfId="0" applyNumberFormat="1" applyAlignment="1">
      <alignment horizontal="center" vertical="center"/>
    </xf>
    <xf numFmtId="4" fontId="0" fillId="0" borderId="0" xfId="0" applyNumberFormat="1"/>
    <xf numFmtId="4" fontId="7" fillId="0" borderId="25" xfId="0" applyNumberFormat="1" applyFont="1" applyBorder="1" applyAlignment="1">
      <alignment horizontal="center" vertical="center"/>
    </xf>
    <xf numFmtId="0" fontId="0" fillId="0" borderId="25" xfId="0" applyBorder="1"/>
    <xf numFmtId="4" fontId="0" fillId="0" borderId="25" xfId="0" applyNumberFormat="1" applyBorder="1"/>
    <xf numFmtId="0" fontId="5" fillId="0" borderId="26" xfId="0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4" fontId="0" fillId="0" borderId="61" xfId="0" applyNumberFormat="1" applyBorder="1"/>
    <xf numFmtId="0" fontId="5" fillId="0" borderId="80" xfId="0" applyFont="1" applyBorder="1" applyAlignment="1">
      <alignment horizontal="center" vertical="center"/>
    </xf>
    <xf numFmtId="0" fontId="0" fillId="0" borderId="71" xfId="0" applyBorder="1"/>
    <xf numFmtId="4" fontId="7" fillId="0" borderId="27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71" xfId="0" applyNumberFormat="1" applyFont="1" applyBorder="1" applyAlignment="1">
      <alignment horizontal="center" vertical="center"/>
    </xf>
    <xf numFmtId="3" fontId="25" fillId="0" borderId="80" xfId="0" applyNumberFormat="1" applyFont="1" applyBorder="1" applyAlignment="1">
      <alignment horizontal="center" vertical="center"/>
    </xf>
    <xf numFmtId="4" fontId="7" fillId="0" borderId="61" xfId="0" applyNumberFormat="1" applyFont="1" applyBorder="1"/>
    <xf numFmtId="4" fontId="7" fillId="0" borderId="25" xfId="0" applyNumberFormat="1" applyFont="1" applyBorder="1"/>
    <xf numFmtId="4" fontId="7" fillId="0" borderId="27" xfId="0" applyNumberFormat="1" applyFont="1" applyBorder="1"/>
    <xf numFmtId="2" fontId="26" fillId="16" borderId="76" xfId="0" applyNumberFormat="1" applyFont="1" applyFill="1" applyBorder="1" applyAlignment="1">
      <alignment horizontal="center" vertical="center"/>
    </xf>
    <xf numFmtId="2" fontId="26" fillId="16" borderId="77" xfId="0" applyNumberFormat="1" applyFont="1" applyFill="1" applyBorder="1" applyAlignment="1">
      <alignment horizontal="center" vertical="center"/>
    </xf>
    <xf numFmtId="2" fontId="26" fillId="16" borderId="82" xfId="0" applyNumberFormat="1" applyFont="1" applyFill="1" applyBorder="1" applyAlignment="1">
      <alignment horizontal="center" vertical="center"/>
    </xf>
    <xf numFmtId="4" fontId="0" fillId="0" borderId="27" xfId="0" applyNumberFormat="1" applyBorder="1"/>
    <xf numFmtId="4" fontId="0" fillId="0" borderId="27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4" fontId="5" fillId="0" borderId="25" xfId="0" applyNumberFormat="1" applyFont="1" applyBorder="1"/>
    <xf numFmtId="4" fontId="5" fillId="0" borderId="27" xfId="0" applyNumberFormat="1" applyFont="1" applyBorder="1"/>
    <xf numFmtId="4" fontId="5" fillId="0" borderId="61" xfId="0" applyNumberFormat="1" applyFont="1" applyBorder="1"/>
    <xf numFmtId="2" fontId="0" fillId="16" borderId="43" xfId="0" applyNumberFormat="1" applyFill="1" applyBorder="1" applyAlignment="1">
      <alignment horizontal="center" vertical="center"/>
    </xf>
    <xf numFmtId="2" fontId="0" fillId="16" borderId="46" xfId="0" applyNumberFormat="1" applyFill="1" applyBorder="1" applyAlignment="1">
      <alignment horizontal="center" vertical="center"/>
    </xf>
    <xf numFmtId="2" fontId="0" fillId="16" borderId="81" xfId="0" applyNumberForma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0" fontId="0" fillId="0" borderId="104" xfId="0" applyBorder="1"/>
    <xf numFmtId="0" fontId="0" fillId="0" borderId="10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5" xfId="0" applyBorder="1"/>
    <xf numFmtId="0" fontId="0" fillId="0" borderId="10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3" xfId="0" applyBorder="1"/>
    <xf numFmtId="0" fontId="0" fillId="0" borderId="78" xfId="0" applyBorder="1" applyAlignment="1">
      <alignment horizontal="center" vertical="center"/>
    </xf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03" xfId="0" applyBorder="1"/>
    <xf numFmtId="0" fontId="0" fillId="0" borderId="7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71" xfId="0" applyNumberFormat="1" applyBorder="1" applyAlignment="1">
      <alignment horizontal="center" vertical="center"/>
    </xf>
    <xf numFmtId="4" fontId="0" fillId="0" borderId="80" xfId="0" applyNumberFormat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82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/>
    <xf numFmtId="4" fontId="27" fillId="0" borderId="25" xfId="0" applyNumberFormat="1" applyFont="1" applyBorder="1"/>
    <xf numFmtId="4" fontId="0" fillId="0" borderId="43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2" fontId="0" fillId="0" borderId="102" xfId="0" applyNumberFormat="1" applyBorder="1" applyAlignment="1">
      <alignment horizontal="center" vertical="center"/>
    </xf>
    <xf numFmtId="2" fontId="0" fillId="0" borderId="78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116" xfId="0" applyNumberFormat="1" applyBorder="1" applyAlignment="1">
      <alignment horizontal="center" vertical="center"/>
    </xf>
    <xf numFmtId="4" fontId="0" fillId="0" borderId="117" xfId="0" applyNumberFormat="1" applyBorder="1" applyAlignment="1">
      <alignment horizontal="center" vertical="center"/>
    </xf>
    <xf numFmtId="4" fontId="0" fillId="0" borderId="118" xfId="0" applyNumberFormat="1" applyBorder="1" applyAlignment="1">
      <alignment horizontal="center" vertical="center"/>
    </xf>
    <xf numFmtId="4" fontId="0" fillId="0" borderId="115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114" xfId="0" applyNumberFormat="1" applyBorder="1" applyAlignment="1">
      <alignment horizontal="center" vertical="center"/>
    </xf>
    <xf numFmtId="4" fontId="0" fillId="0" borderId="112" xfId="0" applyNumberFormat="1" applyBorder="1" applyAlignment="1">
      <alignment horizontal="center" vertical="center"/>
    </xf>
    <xf numFmtId="4" fontId="0" fillId="0" borderId="113" xfId="0" applyNumberFormat="1" applyBorder="1" applyAlignment="1">
      <alignment horizontal="center" vertical="center"/>
    </xf>
    <xf numFmtId="4" fontId="27" fillId="7" borderId="25" xfId="0" applyNumberFormat="1" applyFont="1" applyFill="1" applyBorder="1" applyAlignment="1">
      <alignment horizontal="center" vertical="center"/>
    </xf>
    <xf numFmtId="4" fontId="5" fillId="7" borderId="25" xfId="0" applyNumberFormat="1" applyFont="1" applyFill="1" applyBorder="1" applyAlignment="1">
      <alignment horizontal="center" vertical="center"/>
    </xf>
    <xf numFmtId="4" fontId="0" fillId="7" borderId="25" xfId="0" applyNumberForma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4" fontId="19" fillId="7" borderId="7" xfId="0" applyNumberFormat="1" applyFont="1" applyFill="1" applyBorder="1" applyAlignment="1">
      <alignment horizontal="center"/>
    </xf>
    <xf numFmtId="10" fontId="19" fillId="7" borderId="7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7" fillId="0" borderId="96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4" fontId="13" fillId="7" borderId="7" xfId="0" applyNumberFormat="1" applyFont="1" applyFill="1" applyBorder="1" applyAlignment="1">
      <alignment horizontal="center"/>
    </xf>
    <xf numFmtId="10" fontId="13" fillId="7" borderId="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7" fillId="10" borderId="27" xfId="0" applyFont="1" applyFill="1" applyBorder="1" applyAlignment="1">
      <alignment horizontal="center"/>
    </xf>
    <xf numFmtId="0" fontId="17" fillId="10" borderId="43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" fontId="19" fillId="7" borderId="45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10" fontId="19" fillId="7" borderId="7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82" xfId="0" applyNumberForma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81" xfId="0" applyNumberForma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61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C99"/>
      <color rgb="FFFF99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114300</xdr:rowOff>
    </xdr:from>
    <xdr:to>
      <xdr:col>3</xdr:col>
      <xdr:colOff>85725</xdr:colOff>
      <xdr:row>6</xdr:row>
      <xdr:rowOff>123825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C847ED1C-B2D5-4B82-B961-0D16A5D4C228}"/>
            </a:ext>
          </a:extLst>
        </xdr:cNvPr>
        <xdr:cNvCxnSpPr/>
      </xdr:nvCxnSpPr>
      <xdr:spPr>
        <a:xfrm>
          <a:off x="552450" y="106965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333994</xdr:colOff>
      <xdr:row>18</xdr:row>
      <xdr:rowOff>74221</xdr:rowOff>
    </xdr:from>
    <xdr:to>
      <xdr:col>1</xdr:col>
      <xdr:colOff>104775</xdr:colOff>
      <xdr:row>21</xdr:row>
      <xdr:rowOff>142875</xdr:rowOff>
    </xdr:to>
    <xdr:sp macro="" textlink="">
      <xdr:nvSpPr>
        <xdr:cNvPr id="3" name="Chave Direita 2">
          <a:extLst>
            <a:ext uri="{FF2B5EF4-FFF2-40B4-BE49-F238E27FC236}">
              <a16:creationId xmlns:a16="http://schemas.microsoft.com/office/drawing/2014/main" id="{8C415003-75C6-461E-921E-A69F892CD151}"/>
            </a:ext>
          </a:extLst>
        </xdr:cNvPr>
        <xdr:cNvSpPr/>
      </xdr:nvSpPr>
      <xdr:spPr>
        <a:xfrm>
          <a:off x="333994" y="13056796"/>
          <a:ext cx="380381" cy="66872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104775</xdr:colOff>
      <xdr:row>18</xdr:row>
      <xdr:rowOff>114300</xdr:rowOff>
    </xdr:from>
    <xdr:to>
      <xdr:col>3</xdr:col>
      <xdr:colOff>123825</xdr:colOff>
      <xdr:row>20</xdr:row>
      <xdr:rowOff>8536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1210C14A-681E-449D-A08D-99CF13CDDE42}"/>
            </a:ext>
          </a:extLst>
        </xdr:cNvPr>
        <xdr:cNvCxnSpPr>
          <a:stCxn id="3" idx="1"/>
        </xdr:cNvCxnSpPr>
      </xdr:nvCxnSpPr>
      <xdr:spPr>
        <a:xfrm flipV="1">
          <a:off x="714375" y="13096875"/>
          <a:ext cx="514350" cy="2942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7</xdr:row>
      <xdr:rowOff>104775</xdr:rowOff>
    </xdr:from>
    <xdr:to>
      <xdr:col>3</xdr:col>
      <xdr:colOff>66675</xdr:colOff>
      <xdr:row>7</xdr:row>
      <xdr:rowOff>114300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550AA2F7-6E09-4595-99D4-6BD928219EBA}"/>
            </a:ext>
          </a:extLst>
        </xdr:cNvPr>
        <xdr:cNvCxnSpPr/>
      </xdr:nvCxnSpPr>
      <xdr:spPr>
        <a:xfrm>
          <a:off x="533400" y="108870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8</xdr:row>
      <xdr:rowOff>85725</xdr:rowOff>
    </xdr:from>
    <xdr:to>
      <xdr:col>3</xdr:col>
      <xdr:colOff>66675</xdr:colOff>
      <xdr:row>8</xdr:row>
      <xdr:rowOff>95250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93D4361D-D001-4EBA-AE4A-08E327B64554}"/>
            </a:ext>
          </a:extLst>
        </xdr:cNvPr>
        <xdr:cNvCxnSpPr/>
      </xdr:nvCxnSpPr>
      <xdr:spPr>
        <a:xfrm>
          <a:off x="533400" y="110680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9</xdr:row>
      <xdr:rowOff>85725</xdr:rowOff>
    </xdr:from>
    <xdr:to>
      <xdr:col>3</xdr:col>
      <xdr:colOff>57150</xdr:colOff>
      <xdr:row>9</xdr:row>
      <xdr:rowOff>95250</xdr:rowOff>
    </xdr:to>
    <xdr:cxnSp macro="">
      <xdr:nvCxnSpPr>
        <xdr:cNvPr id="7" name="Conector de Seta Reta 6">
          <a:extLst>
            <a:ext uri="{FF2B5EF4-FFF2-40B4-BE49-F238E27FC236}">
              <a16:creationId xmlns:a16="http://schemas.microsoft.com/office/drawing/2014/main" id="{35984FEE-8BD6-4900-8B04-0B412CFD9841}"/>
            </a:ext>
          </a:extLst>
        </xdr:cNvPr>
        <xdr:cNvCxnSpPr/>
      </xdr:nvCxnSpPr>
      <xdr:spPr>
        <a:xfrm>
          <a:off x="523875" y="112680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10</xdr:row>
      <xdr:rowOff>76200</xdr:rowOff>
    </xdr:from>
    <xdr:to>
      <xdr:col>3</xdr:col>
      <xdr:colOff>85725</xdr:colOff>
      <xdr:row>10</xdr:row>
      <xdr:rowOff>85725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CA456831-EF58-4758-99B8-3C05A40CF060}"/>
            </a:ext>
          </a:extLst>
        </xdr:cNvPr>
        <xdr:cNvCxnSpPr/>
      </xdr:nvCxnSpPr>
      <xdr:spPr>
        <a:xfrm>
          <a:off x="552450" y="114585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11</xdr:row>
      <xdr:rowOff>95250</xdr:rowOff>
    </xdr:from>
    <xdr:to>
      <xdr:col>3</xdr:col>
      <xdr:colOff>76200</xdr:colOff>
      <xdr:row>11</xdr:row>
      <xdr:rowOff>104775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764F3196-A3F4-433F-B3BE-AD22C6C9DF38}"/>
            </a:ext>
          </a:extLst>
        </xdr:cNvPr>
        <xdr:cNvCxnSpPr/>
      </xdr:nvCxnSpPr>
      <xdr:spPr>
        <a:xfrm>
          <a:off x="542925" y="116776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12</xdr:row>
      <xdr:rowOff>114300</xdr:rowOff>
    </xdr:from>
    <xdr:to>
      <xdr:col>3</xdr:col>
      <xdr:colOff>85725</xdr:colOff>
      <xdr:row>12</xdr:row>
      <xdr:rowOff>123825</xdr:rowOff>
    </xdr:to>
    <xdr:cxnSp macro="">
      <xdr:nvCxnSpPr>
        <xdr:cNvPr id="10" name="Conector de Seta Reta 9">
          <a:extLst>
            <a:ext uri="{FF2B5EF4-FFF2-40B4-BE49-F238E27FC236}">
              <a16:creationId xmlns:a16="http://schemas.microsoft.com/office/drawing/2014/main" id="{A91D3D1E-2955-49F9-95E7-D75C4765BAF7}"/>
            </a:ext>
          </a:extLst>
        </xdr:cNvPr>
        <xdr:cNvCxnSpPr/>
      </xdr:nvCxnSpPr>
      <xdr:spPr>
        <a:xfrm>
          <a:off x="552450" y="1189672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13</xdr:row>
      <xdr:rowOff>76200</xdr:rowOff>
    </xdr:from>
    <xdr:to>
      <xdr:col>3</xdr:col>
      <xdr:colOff>85725</xdr:colOff>
      <xdr:row>13</xdr:row>
      <xdr:rowOff>85725</xdr:rowOff>
    </xdr:to>
    <xdr:cxnSp macro="">
      <xdr:nvCxnSpPr>
        <xdr:cNvPr id="11" name="Conector de Seta Reta 10">
          <a:extLst>
            <a:ext uri="{FF2B5EF4-FFF2-40B4-BE49-F238E27FC236}">
              <a16:creationId xmlns:a16="http://schemas.microsoft.com/office/drawing/2014/main" id="{BD0AE81D-0F8D-4707-8C7F-AFE631741E60}"/>
            </a:ext>
          </a:extLst>
        </xdr:cNvPr>
        <xdr:cNvCxnSpPr/>
      </xdr:nvCxnSpPr>
      <xdr:spPr>
        <a:xfrm>
          <a:off x="552450" y="120586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14</xdr:row>
      <xdr:rowOff>95250</xdr:rowOff>
    </xdr:from>
    <xdr:to>
      <xdr:col>3</xdr:col>
      <xdr:colOff>76200</xdr:colOff>
      <xdr:row>14</xdr:row>
      <xdr:rowOff>104775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8420A3F8-F61E-4C31-A0B4-041328BE40EE}"/>
            </a:ext>
          </a:extLst>
        </xdr:cNvPr>
        <xdr:cNvCxnSpPr/>
      </xdr:nvCxnSpPr>
      <xdr:spPr>
        <a:xfrm>
          <a:off x="542925" y="1227772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15</xdr:row>
      <xdr:rowOff>95250</xdr:rowOff>
    </xdr:from>
    <xdr:to>
      <xdr:col>3</xdr:col>
      <xdr:colOff>95250</xdr:colOff>
      <xdr:row>15</xdr:row>
      <xdr:rowOff>104775</xdr:rowOff>
    </xdr:to>
    <xdr:cxnSp macro="">
      <xdr:nvCxnSpPr>
        <xdr:cNvPr id="13" name="Conector de Seta Reta 12">
          <a:extLst>
            <a:ext uri="{FF2B5EF4-FFF2-40B4-BE49-F238E27FC236}">
              <a16:creationId xmlns:a16="http://schemas.microsoft.com/office/drawing/2014/main" id="{F3DC6081-9D96-4D08-8F01-ECC8711FF5CF}"/>
            </a:ext>
          </a:extLst>
        </xdr:cNvPr>
        <xdr:cNvCxnSpPr/>
      </xdr:nvCxnSpPr>
      <xdr:spPr>
        <a:xfrm>
          <a:off x="561975" y="124777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16</xdr:row>
      <xdr:rowOff>104775</xdr:rowOff>
    </xdr:from>
    <xdr:to>
      <xdr:col>3</xdr:col>
      <xdr:colOff>85725</xdr:colOff>
      <xdr:row>16</xdr:row>
      <xdr:rowOff>114300</xdr:rowOff>
    </xdr:to>
    <xdr:cxnSp macro="">
      <xdr:nvCxnSpPr>
        <xdr:cNvPr id="14" name="Conector de Seta Reta 13">
          <a:extLst>
            <a:ext uri="{FF2B5EF4-FFF2-40B4-BE49-F238E27FC236}">
              <a16:creationId xmlns:a16="http://schemas.microsoft.com/office/drawing/2014/main" id="{56CE008F-AD58-4078-94CD-2FA70AADE0DB}"/>
            </a:ext>
          </a:extLst>
        </xdr:cNvPr>
        <xdr:cNvCxnSpPr/>
      </xdr:nvCxnSpPr>
      <xdr:spPr>
        <a:xfrm>
          <a:off x="552450" y="1268730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17</xdr:row>
      <xdr:rowOff>114300</xdr:rowOff>
    </xdr:from>
    <xdr:to>
      <xdr:col>3</xdr:col>
      <xdr:colOff>95250</xdr:colOff>
      <xdr:row>17</xdr:row>
      <xdr:rowOff>123825</xdr:rowOff>
    </xdr:to>
    <xdr:cxnSp macro="">
      <xdr:nvCxnSpPr>
        <xdr:cNvPr id="15" name="Conector de Seta Reta 14">
          <a:extLst>
            <a:ext uri="{FF2B5EF4-FFF2-40B4-BE49-F238E27FC236}">
              <a16:creationId xmlns:a16="http://schemas.microsoft.com/office/drawing/2014/main" id="{845D0BB0-B811-41E7-86EC-3C47E799FF52}"/>
            </a:ext>
          </a:extLst>
        </xdr:cNvPr>
        <xdr:cNvCxnSpPr/>
      </xdr:nvCxnSpPr>
      <xdr:spPr>
        <a:xfrm>
          <a:off x="561975" y="128968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114300</xdr:rowOff>
    </xdr:from>
    <xdr:to>
      <xdr:col>13</xdr:col>
      <xdr:colOff>142875</xdr:colOff>
      <xdr:row>6</xdr:row>
      <xdr:rowOff>123825</xdr:rowOff>
    </xdr:to>
    <xdr:cxnSp macro="">
      <xdr:nvCxnSpPr>
        <xdr:cNvPr id="16" name="Conector de Seta Reta 15">
          <a:extLst>
            <a:ext uri="{FF2B5EF4-FFF2-40B4-BE49-F238E27FC236}">
              <a16:creationId xmlns:a16="http://schemas.microsoft.com/office/drawing/2014/main" id="{52155428-F0B3-4420-9E3F-C44A39BAF381}"/>
            </a:ext>
          </a:extLst>
        </xdr:cNvPr>
        <xdr:cNvCxnSpPr/>
      </xdr:nvCxnSpPr>
      <xdr:spPr>
        <a:xfrm>
          <a:off x="3086100" y="106965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142875</xdr:colOff>
      <xdr:row>7</xdr:row>
      <xdr:rowOff>104775</xdr:rowOff>
    </xdr:to>
    <xdr:cxnSp macro="">
      <xdr:nvCxnSpPr>
        <xdr:cNvPr id="17" name="Conector de Seta Reta 16">
          <a:extLst>
            <a:ext uri="{FF2B5EF4-FFF2-40B4-BE49-F238E27FC236}">
              <a16:creationId xmlns:a16="http://schemas.microsoft.com/office/drawing/2014/main" id="{ED569803-2B81-43A5-8BB2-E5DB2AAC2F01}"/>
            </a:ext>
          </a:extLst>
        </xdr:cNvPr>
        <xdr:cNvCxnSpPr/>
      </xdr:nvCxnSpPr>
      <xdr:spPr>
        <a:xfrm>
          <a:off x="3086100" y="108775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8</xdr:row>
      <xdr:rowOff>123825</xdr:rowOff>
    </xdr:from>
    <xdr:to>
      <xdr:col>13</xdr:col>
      <xdr:colOff>161925</xdr:colOff>
      <xdr:row>8</xdr:row>
      <xdr:rowOff>133350</xdr:rowOff>
    </xdr:to>
    <xdr:cxnSp macro="">
      <xdr:nvCxnSpPr>
        <xdr:cNvPr id="18" name="Conector de Seta Reta 17">
          <a:extLst>
            <a:ext uri="{FF2B5EF4-FFF2-40B4-BE49-F238E27FC236}">
              <a16:creationId xmlns:a16="http://schemas.microsoft.com/office/drawing/2014/main" id="{DEBC3DCD-AE6C-4ED3-9F01-FD33F73FB2C7}"/>
            </a:ext>
          </a:extLst>
        </xdr:cNvPr>
        <xdr:cNvCxnSpPr/>
      </xdr:nvCxnSpPr>
      <xdr:spPr>
        <a:xfrm>
          <a:off x="3105150" y="111061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123825</xdr:rowOff>
    </xdr:from>
    <xdr:to>
      <xdr:col>13</xdr:col>
      <xdr:colOff>142875</xdr:colOff>
      <xdr:row>9</xdr:row>
      <xdr:rowOff>133350</xdr:rowOff>
    </xdr:to>
    <xdr:cxnSp macro="">
      <xdr:nvCxnSpPr>
        <xdr:cNvPr id="19" name="Conector de Seta Reta 18">
          <a:extLst>
            <a:ext uri="{FF2B5EF4-FFF2-40B4-BE49-F238E27FC236}">
              <a16:creationId xmlns:a16="http://schemas.microsoft.com/office/drawing/2014/main" id="{1FA7818B-6083-4AE1-B903-2BED927F4BD4}"/>
            </a:ext>
          </a:extLst>
        </xdr:cNvPr>
        <xdr:cNvCxnSpPr/>
      </xdr:nvCxnSpPr>
      <xdr:spPr>
        <a:xfrm>
          <a:off x="3086100" y="113061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10</xdr:row>
      <xdr:rowOff>114300</xdr:rowOff>
    </xdr:from>
    <xdr:to>
      <xdr:col>13</xdr:col>
      <xdr:colOff>133350</xdr:colOff>
      <xdr:row>10</xdr:row>
      <xdr:rowOff>123825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BDA217EA-96B9-4455-BCE4-83AB9CC8F119}"/>
            </a:ext>
          </a:extLst>
        </xdr:cNvPr>
        <xdr:cNvCxnSpPr/>
      </xdr:nvCxnSpPr>
      <xdr:spPr>
        <a:xfrm>
          <a:off x="3076575" y="114966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11</xdr:row>
      <xdr:rowOff>104775</xdr:rowOff>
    </xdr:from>
    <xdr:to>
      <xdr:col>13</xdr:col>
      <xdr:colOff>123825</xdr:colOff>
      <xdr:row>11</xdr:row>
      <xdr:rowOff>114300</xdr:rowOff>
    </xdr:to>
    <xdr:cxnSp macro="">
      <xdr:nvCxnSpPr>
        <xdr:cNvPr id="21" name="Conector de Seta Reta 20">
          <a:extLst>
            <a:ext uri="{FF2B5EF4-FFF2-40B4-BE49-F238E27FC236}">
              <a16:creationId xmlns:a16="http://schemas.microsoft.com/office/drawing/2014/main" id="{41206600-596F-46DF-B7EB-C8C95690A2DC}"/>
            </a:ext>
          </a:extLst>
        </xdr:cNvPr>
        <xdr:cNvCxnSpPr/>
      </xdr:nvCxnSpPr>
      <xdr:spPr>
        <a:xfrm>
          <a:off x="3067050" y="116871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12</xdr:row>
      <xdr:rowOff>123825</xdr:rowOff>
    </xdr:from>
    <xdr:to>
      <xdr:col>13</xdr:col>
      <xdr:colOff>161925</xdr:colOff>
      <xdr:row>12</xdr:row>
      <xdr:rowOff>133350</xdr:rowOff>
    </xdr:to>
    <xdr:cxnSp macro="">
      <xdr:nvCxnSpPr>
        <xdr:cNvPr id="22" name="Conector de Seta Reta 21">
          <a:extLst>
            <a:ext uri="{FF2B5EF4-FFF2-40B4-BE49-F238E27FC236}">
              <a16:creationId xmlns:a16="http://schemas.microsoft.com/office/drawing/2014/main" id="{A6883213-BE22-44C1-A9A0-9AF30B241A6C}"/>
            </a:ext>
          </a:extLst>
        </xdr:cNvPr>
        <xdr:cNvCxnSpPr/>
      </xdr:nvCxnSpPr>
      <xdr:spPr>
        <a:xfrm>
          <a:off x="3105150" y="119062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13</xdr:row>
      <xdr:rowOff>123825</xdr:rowOff>
    </xdr:from>
    <xdr:to>
      <xdr:col>13</xdr:col>
      <xdr:colOff>133350</xdr:colOff>
      <xdr:row>13</xdr:row>
      <xdr:rowOff>133350</xdr:rowOff>
    </xdr:to>
    <xdr:cxnSp macro="">
      <xdr:nvCxnSpPr>
        <xdr:cNvPr id="23" name="Conector de Seta Reta 22">
          <a:extLst>
            <a:ext uri="{FF2B5EF4-FFF2-40B4-BE49-F238E27FC236}">
              <a16:creationId xmlns:a16="http://schemas.microsoft.com/office/drawing/2014/main" id="{5522DE68-AFA0-44EF-8798-B5D71CD5E7DC}"/>
            </a:ext>
          </a:extLst>
        </xdr:cNvPr>
        <xdr:cNvCxnSpPr/>
      </xdr:nvCxnSpPr>
      <xdr:spPr>
        <a:xfrm>
          <a:off x="3076575" y="1210627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14</xdr:row>
      <xdr:rowOff>104775</xdr:rowOff>
    </xdr:from>
    <xdr:to>
      <xdr:col>13</xdr:col>
      <xdr:colOff>104775</xdr:colOff>
      <xdr:row>14</xdr:row>
      <xdr:rowOff>114300</xdr:rowOff>
    </xdr:to>
    <xdr:cxnSp macro="">
      <xdr:nvCxnSpPr>
        <xdr:cNvPr id="24" name="Conector de Seta Reta 23">
          <a:extLst>
            <a:ext uri="{FF2B5EF4-FFF2-40B4-BE49-F238E27FC236}">
              <a16:creationId xmlns:a16="http://schemas.microsoft.com/office/drawing/2014/main" id="{629E166F-CDC0-4D71-8BB7-D49A51978B0C}"/>
            </a:ext>
          </a:extLst>
        </xdr:cNvPr>
        <xdr:cNvCxnSpPr/>
      </xdr:nvCxnSpPr>
      <xdr:spPr>
        <a:xfrm>
          <a:off x="3048000" y="1228725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15</xdr:row>
      <xdr:rowOff>123825</xdr:rowOff>
    </xdr:from>
    <xdr:to>
      <xdr:col>13</xdr:col>
      <xdr:colOff>133350</xdr:colOff>
      <xdr:row>15</xdr:row>
      <xdr:rowOff>133350</xdr:rowOff>
    </xdr:to>
    <xdr:cxnSp macro="">
      <xdr:nvCxnSpPr>
        <xdr:cNvPr id="25" name="Conector de Seta Reta 24">
          <a:extLst>
            <a:ext uri="{FF2B5EF4-FFF2-40B4-BE49-F238E27FC236}">
              <a16:creationId xmlns:a16="http://schemas.microsoft.com/office/drawing/2014/main" id="{F0C99896-BA0C-4779-BC8E-7A26297E168C}"/>
            </a:ext>
          </a:extLst>
        </xdr:cNvPr>
        <xdr:cNvCxnSpPr/>
      </xdr:nvCxnSpPr>
      <xdr:spPr>
        <a:xfrm>
          <a:off x="3076575" y="1250632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16</xdr:row>
      <xdr:rowOff>104775</xdr:rowOff>
    </xdr:from>
    <xdr:to>
      <xdr:col>13</xdr:col>
      <xdr:colOff>123825</xdr:colOff>
      <xdr:row>16</xdr:row>
      <xdr:rowOff>114300</xdr:rowOff>
    </xdr:to>
    <xdr:cxnSp macro="">
      <xdr:nvCxnSpPr>
        <xdr:cNvPr id="26" name="Conector de Seta Reta 25">
          <a:extLst>
            <a:ext uri="{FF2B5EF4-FFF2-40B4-BE49-F238E27FC236}">
              <a16:creationId xmlns:a16="http://schemas.microsoft.com/office/drawing/2014/main" id="{12AED3D8-D382-4C6C-A57A-554B3C377BAB}"/>
            </a:ext>
          </a:extLst>
        </xdr:cNvPr>
        <xdr:cNvCxnSpPr/>
      </xdr:nvCxnSpPr>
      <xdr:spPr>
        <a:xfrm>
          <a:off x="3067050" y="1268730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17</xdr:row>
      <xdr:rowOff>104775</xdr:rowOff>
    </xdr:from>
    <xdr:to>
      <xdr:col>13</xdr:col>
      <xdr:colOff>152400</xdr:colOff>
      <xdr:row>17</xdr:row>
      <xdr:rowOff>114300</xdr:rowOff>
    </xdr:to>
    <xdr:cxnSp macro="">
      <xdr:nvCxnSpPr>
        <xdr:cNvPr id="27" name="Conector de Seta Reta 26">
          <a:extLst>
            <a:ext uri="{FF2B5EF4-FFF2-40B4-BE49-F238E27FC236}">
              <a16:creationId xmlns:a16="http://schemas.microsoft.com/office/drawing/2014/main" id="{1B1F94EB-7208-4FBE-8ABB-D091C835095A}"/>
            </a:ext>
          </a:extLst>
        </xdr:cNvPr>
        <xdr:cNvCxnSpPr/>
      </xdr:nvCxnSpPr>
      <xdr:spPr>
        <a:xfrm>
          <a:off x="3095625" y="12887325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18</xdr:row>
      <xdr:rowOff>85725</xdr:rowOff>
    </xdr:from>
    <xdr:to>
      <xdr:col>13</xdr:col>
      <xdr:colOff>133350</xdr:colOff>
      <xdr:row>18</xdr:row>
      <xdr:rowOff>95250</xdr:rowOff>
    </xdr:to>
    <xdr:cxnSp macro="">
      <xdr:nvCxnSpPr>
        <xdr:cNvPr id="28" name="Conector de Seta Reta 27">
          <a:extLst>
            <a:ext uri="{FF2B5EF4-FFF2-40B4-BE49-F238E27FC236}">
              <a16:creationId xmlns:a16="http://schemas.microsoft.com/office/drawing/2014/main" id="{C29144FD-00AF-41CF-96D7-27499B138BD0}"/>
            </a:ext>
          </a:extLst>
        </xdr:cNvPr>
        <xdr:cNvCxnSpPr/>
      </xdr:nvCxnSpPr>
      <xdr:spPr>
        <a:xfrm>
          <a:off x="3076575" y="13068300"/>
          <a:ext cx="6381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workbookViewId="0">
      <pane ySplit="3" topLeftCell="A4" activePane="bottomLeft" state="frozen"/>
      <selection pane="bottomLeft" activeCell="AA20" sqref="AA20"/>
    </sheetView>
  </sheetViews>
  <sheetFormatPr defaultRowHeight="15" x14ac:dyDescent="0.25"/>
  <cols>
    <col min="1" max="21" width="3.7109375" customWidth="1"/>
  </cols>
  <sheetData>
    <row r="1" spans="1:22" ht="16.5" thickBot="1" x14ac:dyDescent="0.3">
      <c r="A1" s="442" t="s">
        <v>39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3"/>
    </row>
    <row r="2" spans="1:22" ht="16.5" thickBot="1" x14ac:dyDescent="0.3">
      <c r="A2" s="444" t="s">
        <v>0</v>
      </c>
      <c r="B2" s="445" t="s">
        <v>1</v>
      </c>
      <c r="C2" s="445"/>
      <c r="D2" s="445"/>
      <c r="E2" s="445"/>
      <c r="F2" s="446" t="s">
        <v>2</v>
      </c>
      <c r="G2" s="446"/>
      <c r="H2" s="446"/>
      <c r="I2" s="446"/>
      <c r="J2" s="447" t="s">
        <v>3</v>
      </c>
      <c r="K2" s="447"/>
      <c r="L2" s="447"/>
      <c r="M2" s="447"/>
      <c r="N2" s="448" t="s">
        <v>4</v>
      </c>
      <c r="O2" s="448"/>
      <c r="P2" s="448"/>
      <c r="Q2" s="448"/>
      <c r="R2" s="449" t="s">
        <v>5</v>
      </c>
      <c r="S2" s="449"/>
      <c r="T2" s="449"/>
      <c r="U2" s="449"/>
      <c r="V2" s="450" t="s">
        <v>40</v>
      </c>
    </row>
    <row r="3" spans="1:22" ht="16.5" thickBot="1" x14ac:dyDescent="0.3">
      <c r="A3" s="444"/>
      <c r="B3" s="171" t="s">
        <v>6</v>
      </c>
      <c r="C3" s="172" t="s">
        <v>7</v>
      </c>
      <c r="D3" s="172" t="s">
        <v>8</v>
      </c>
      <c r="E3" s="173" t="s">
        <v>9</v>
      </c>
      <c r="F3" s="174" t="s">
        <v>6</v>
      </c>
      <c r="G3" s="175" t="s">
        <v>7</v>
      </c>
      <c r="H3" s="175" t="s">
        <v>8</v>
      </c>
      <c r="I3" s="176" t="s">
        <v>9</v>
      </c>
      <c r="J3" s="177" t="s">
        <v>6</v>
      </c>
      <c r="K3" s="178" t="s">
        <v>7</v>
      </c>
      <c r="L3" s="178" t="s">
        <v>8</v>
      </c>
      <c r="M3" s="179" t="s">
        <v>9</v>
      </c>
      <c r="N3" s="180" t="s">
        <v>6</v>
      </c>
      <c r="O3" s="181" t="s">
        <v>7</v>
      </c>
      <c r="P3" s="181" t="s">
        <v>8</v>
      </c>
      <c r="Q3" s="182" t="s">
        <v>9</v>
      </c>
      <c r="R3" s="183" t="s">
        <v>6</v>
      </c>
      <c r="S3" s="184" t="s">
        <v>7</v>
      </c>
      <c r="T3" s="184" t="s">
        <v>8</v>
      </c>
      <c r="U3" s="185" t="s">
        <v>9</v>
      </c>
      <c r="V3" s="451"/>
    </row>
    <row r="4" spans="1:22" ht="15.75" x14ac:dyDescent="0.25">
      <c r="A4" s="186">
        <v>49</v>
      </c>
      <c r="B4" s="187"/>
      <c r="C4" s="188"/>
      <c r="D4" s="188"/>
      <c r="E4" s="189"/>
      <c r="F4" s="190"/>
      <c r="G4" s="191"/>
      <c r="H4" s="191"/>
      <c r="I4" s="192"/>
      <c r="J4" s="193"/>
      <c r="K4" s="194"/>
      <c r="L4" s="194"/>
      <c r="M4" s="195"/>
      <c r="N4" s="196"/>
      <c r="O4" s="197"/>
      <c r="P4" s="197"/>
      <c r="Q4" s="198"/>
      <c r="R4" s="199"/>
      <c r="S4" s="200"/>
      <c r="T4" s="200"/>
      <c r="U4" s="201">
        <v>16</v>
      </c>
      <c r="V4" s="202">
        <f t="shared" ref="V4:V51" si="0">V5*(1+$J$7)</f>
        <v>8323.8751735174847</v>
      </c>
    </row>
    <row r="5" spans="1:22" ht="15.75" x14ac:dyDescent="0.25">
      <c r="A5" s="203">
        <v>48</v>
      </c>
      <c r="B5" s="170"/>
      <c r="C5" s="204"/>
      <c r="D5" s="204"/>
      <c r="E5" s="205"/>
      <c r="F5" s="206"/>
      <c r="G5" s="207"/>
      <c r="H5" s="207"/>
      <c r="I5" s="208"/>
      <c r="J5" s="209"/>
      <c r="K5" s="210"/>
      <c r="L5" s="210"/>
      <c r="M5" s="211"/>
      <c r="N5" s="196"/>
      <c r="O5" s="197"/>
      <c r="P5" s="197"/>
      <c r="Q5" s="198"/>
      <c r="R5" s="199"/>
      <c r="S5" s="200"/>
      <c r="T5" s="200">
        <v>16</v>
      </c>
      <c r="U5" s="201">
        <v>15</v>
      </c>
      <c r="V5" s="169">
        <f t="shared" si="0"/>
        <v>8011.4294259071085</v>
      </c>
    </row>
    <row r="6" spans="1:22" ht="15.75" x14ac:dyDescent="0.25">
      <c r="A6" s="203">
        <v>47</v>
      </c>
      <c r="B6" s="170"/>
      <c r="C6" s="204"/>
      <c r="D6" s="204"/>
      <c r="E6" s="205"/>
      <c r="F6" s="439" t="s">
        <v>10</v>
      </c>
      <c r="G6" s="439"/>
      <c r="H6" s="439"/>
      <c r="I6" s="439"/>
      <c r="J6" s="439" t="s">
        <v>11</v>
      </c>
      <c r="K6" s="439"/>
      <c r="L6" s="439"/>
      <c r="M6" s="439"/>
      <c r="N6" s="196"/>
      <c r="O6" s="197"/>
      <c r="P6" s="197"/>
      <c r="Q6" s="198"/>
      <c r="R6" s="199"/>
      <c r="S6" s="200">
        <v>16</v>
      </c>
      <c r="T6" s="200">
        <v>15</v>
      </c>
      <c r="U6" s="201">
        <v>14</v>
      </c>
      <c r="V6" s="169">
        <f t="shared" si="0"/>
        <v>7710.711670747939</v>
      </c>
    </row>
    <row r="7" spans="1:22" ht="15.75" x14ac:dyDescent="0.25">
      <c r="A7" s="203">
        <v>46</v>
      </c>
      <c r="B7" s="170"/>
      <c r="C7" s="204"/>
      <c r="D7" s="204"/>
      <c r="E7" s="205"/>
      <c r="F7" s="440">
        <v>1326.72</v>
      </c>
      <c r="G7" s="440"/>
      <c r="H7" s="440"/>
      <c r="I7" s="440"/>
      <c r="J7" s="441">
        <v>3.9E-2</v>
      </c>
      <c r="K7" s="441"/>
      <c r="L7" s="441"/>
      <c r="M7" s="441"/>
      <c r="N7" s="196"/>
      <c r="O7" s="197"/>
      <c r="P7" s="197"/>
      <c r="Q7" s="198"/>
      <c r="R7" s="199">
        <v>16</v>
      </c>
      <c r="S7" s="200">
        <v>15</v>
      </c>
      <c r="T7" s="200">
        <v>14</v>
      </c>
      <c r="U7" s="201">
        <v>13</v>
      </c>
      <c r="V7" s="169">
        <f t="shared" si="0"/>
        <v>7421.2816850317031</v>
      </c>
    </row>
    <row r="8" spans="1:22" ht="15.75" x14ac:dyDescent="0.25">
      <c r="A8" s="203">
        <v>45</v>
      </c>
      <c r="B8" s="170"/>
      <c r="C8" s="204"/>
      <c r="D8" s="204"/>
      <c r="E8" s="205"/>
      <c r="F8" s="206"/>
      <c r="G8" s="207"/>
      <c r="H8" s="207"/>
      <c r="I8" s="208"/>
      <c r="J8" s="209"/>
      <c r="K8" s="210"/>
      <c r="L8" s="210"/>
      <c r="M8" s="211"/>
      <c r="N8" s="196"/>
      <c r="O8" s="197"/>
      <c r="P8" s="197"/>
      <c r="Q8" s="198"/>
      <c r="R8" s="199">
        <v>15</v>
      </c>
      <c r="S8" s="200">
        <v>14</v>
      </c>
      <c r="T8" s="200">
        <v>13</v>
      </c>
      <c r="U8" s="201">
        <v>12</v>
      </c>
      <c r="V8" s="169">
        <f t="shared" si="0"/>
        <v>7142.7157700016396</v>
      </c>
    </row>
    <row r="9" spans="1:22" ht="15.75" x14ac:dyDescent="0.25">
      <c r="A9" s="203">
        <v>44</v>
      </c>
      <c r="B9" s="170"/>
      <c r="C9" s="204"/>
      <c r="D9" s="204"/>
      <c r="E9" s="205"/>
      <c r="F9" s="206"/>
      <c r="G9" s="207"/>
      <c r="H9" s="207"/>
      <c r="I9" s="208"/>
      <c r="J9" s="209"/>
      <c r="K9" s="210"/>
      <c r="L9" s="210"/>
      <c r="M9" s="211"/>
      <c r="N9" s="196"/>
      <c r="O9" s="197"/>
      <c r="P9" s="197"/>
      <c r="Q9" s="198"/>
      <c r="R9" s="199">
        <v>14</v>
      </c>
      <c r="S9" s="200">
        <v>13</v>
      </c>
      <c r="T9" s="200">
        <v>12</v>
      </c>
      <c r="U9" s="201">
        <v>11</v>
      </c>
      <c r="V9" s="169">
        <f t="shared" si="0"/>
        <v>6874.60613089667</v>
      </c>
    </row>
    <row r="10" spans="1:22" ht="15.75" x14ac:dyDescent="0.25">
      <c r="A10" s="203">
        <v>43</v>
      </c>
      <c r="B10" s="170"/>
      <c r="C10" s="204"/>
      <c r="D10" s="204"/>
      <c r="E10" s="205"/>
      <c r="F10" s="206"/>
      <c r="G10" s="207"/>
      <c r="H10" s="207"/>
      <c r="I10" s="208"/>
      <c r="J10" s="209"/>
      <c r="K10" s="210"/>
      <c r="L10" s="210"/>
      <c r="M10" s="211"/>
      <c r="N10" s="196"/>
      <c r="O10" s="197"/>
      <c r="P10" s="197"/>
      <c r="Q10" s="198"/>
      <c r="R10" s="199">
        <v>13</v>
      </c>
      <c r="S10" s="200">
        <v>12</v>
      </c>
      <c r="T10" s="200">
        <v>11</v>
      </c>
      <c r="U10" s="201">
        <v>10</v>
      </c>
      <c r="V10" s="169">
        <f t="shared" si="0"/>
        <v>6616.5602799775461</v>
      </c>
    </row>
    <row r="11" spans="1:22" ht="15.75" x14ac:dyDescent="0.25">
      <c r="A11" s="203">
        <v>42</v>
      </c>
      <c r="B11" s="170"/>
      <c r="C11" s="204"/>
      <c r="D11" s="204"/>
      <c r="E11" s="205"/>
      <c r="F11" s="206"/>
      <c r="G11" s="207"/>
      <c r="H11" s="207"/>
      <c r="I11" s="208"/>
      <c r="J11" s="209"/>
      <c r="K11" s="210"/>
      <c r="L11" s="210"/>
      <c r="M11" s="211"/>
      <c r="N11" s="196"/>
      <c r="O11" s="197"/>
      <c r="P11" s="197"/>
      <c r="Q11" s="198"/>
      <c r="R11" s="199">
        <v>12</v>
      </c>
      <c r="S11" s="200">
        <v>11</v>
      </c>
      <c r="T11" s="200">
        <v>10</v>
      </c>
      <c r="U11" s="201">
        <v>9</v>
      </c>
      <c r="V11" s="169">
        <f t="shared" si="0"/>
        <v>6368.2004619610652</v>
      </c>
    </row>
    <row r="12" spans="1:22" ht="15.75" x14ac:dyDescent="0.25">
      <c r="A12" s="203">
        <v>41</v>
      </c>
      <c r="B12" s="170"/>
      <c r="C12" s="204"/>
      <c r="D12" s="204"/>
      <c r="E12" s="205"/>
      <c r="F12" s="206"/>
      <c r="G12" s="207"/>
      <c r="H12" s="207"/>
      <c r="I12" s="208"/>
      <c r="J12" s="209"/>
      <c r="K12" s="210"/>
      <c r="L12" s="210"/>
      <c r="M12" s="211"/>
      <c r="N12" s="196"/>
      <c r="O12" s="197"/>
      <c r="P12" s="197"/>
      <c r="Q12" s="198"/>
      <c r="R12" s="199">
        <v>11</v>
      </c>
      <c r="S12" s="200">
        <v>10</v>
      </c>
      <c r="T12" s="200">
        <v>9</v>
      </c>
      <c r="U12" s="201">
        <v>8</v>
      </c>
      <c r="V12" s="169">
        <f t="shared" si="0"/>
        <v>6129.1631010212377</v>
      </c>
    </row>
    <row r="13" spans="1:22" ht="15.75" x14ac:dyDescent="0.25">
      <c r="A13" s="203">
        <v>40</v>
      </c>
      <c r="B13" s="170"/>
      <c r="C13" s="204"/>
      <c r="D13" s="204"/>
      <c r="E13" s="205"/>
      <c r="F13" s="206"/>
      <c r="G13" s="207"/>
      <c r="H13" s="207"/>
      <c r="I13" s="208"/>
      <c r="J13" s="209"/>
      <c r="K13" s="210"/>
      <c r="L13" s="210"/>
      <c r="M13" s="211"/>
      <c r="N13" s="196"/>
      <c r="O13" s="197"/>
      <c r="P13" s="197"/>
      <c r="Q13" s="198"/>
      <c r="R13" s="199">
        <v>10</v>
      </c>
      <c r="S13" s="200">
        <v>9</v>
      </c>
      <c r="T13" s="200">
        <v>8</v>
      </c>
      <c r="U13" s="201">
        <v>7</v>
      </c>
      <c r="V13" s="169">
        <f t="shared" si="0"/>
        <v>5899.0982685478712</v>
      </c>
    </row>
    <row r="14" spans="1:22" ht="15.75" x14ac:dyDescent="0.25">
      <c r="A14" s="203">
        <v>39</v>
      </c>
      <c r="B14" s="170"/>
      <c r="C14" s="204"/>
      <c r="D14" s="204"/>
      <c r="E14" s="205"/>
      <c r="F14" s="206"/>
      <c r="G14" s="207"/>
      <c r="H14" s="207"/>
      <c r="I14" s="208"/>
      <c r="J14" s="209"/>
      <c r="K14" s="210"/>
      <c r="L14" s="210"/>
      <c r="M14" s="211"/>
      <c r="N14" s="196"/>
      <c r="O14" s="197"/>
      <c r="P14" s="197"/>
      <c r="Q14" s="198"/>
      <c r="R14" s="199">
        <v>9</v>
      </c>
      <c r="S14" s="200">
        <v>8</v>
      </c>
      <c r="T14" s="200">
        <v>7</v>
      </c>
      <c r="U14" s="201">
        <v>6</v>
      </c>
      <c r="V14" s="169">
        <f t="shared" si="0"/>
        <v>5677.6691708834187</v>
      </c>
    </row>
    <row r="15" spans="1:22" ht="15.75" x14ac:dyDescent="0.25">
      <c r="A15" s="203">
        <v>38</v>
      </c>
      <c r="B15" s="170"/>
      <c r="C15" s="204"/>
      <c r="D15" s="204"/>
      <c r="E15" s="205"/>
      <c r="F15" s="206"/>
      <c r="G15" s="207"/>
      <c r="H15" s="207"/>
      <c r="I15" s="208"/>
      <c r="J15" s="209"/>
      <c r="K15" s="210"/>
      <c r="L15" s="210"/>
      <c r="M15" s="211"/>
      <c r="N15" s="196"/>
      <c r="O15" s="197"/>
      <c r="P15" s="197"/>
      <c r="Q15" s="198"/>
      <c r="R15" s="199">
        <v>8</v>
      </c>
      <c r="S15" s="200">
        <v>7</v>
      </c>
      <c r="T15" s="200">
        <v>6</v>
      </c>
      <c r="U15" s="201">
        <v>5</v>
      </c>
      <c r="V15" s="169">
        <f t="shared" si="0"/>
        <v>5464.5516562881803</v>
      </c>
    </row>
    <row r="16" spans="1:22" ht="15.75" x14ac:dyDescent="0.25">
      <c r="A16" s="203">
        <v>37</v>
      </c>
      <c r="B16" s="170"/>
      <c r="C16" s="204"/>
      <c r="D16" s="204"/>
      <c r="E16" s="205"/>
      <c r="F16" s="206"/>
      <c r="G16" s="207"/>
      <c r="H16" s="207"/>
      <c r="I16" s="208"/>
      <c r="J16" s="209"/>
      <c r="K16" s="210"/>
      <c r="L16" s="210"/>
      <c r="M16" s="211"/>
      <c r="N16" s="196"/>
      <c r="O16" s="197"/>
      <c r="P16" s="197"/>
      <c r="Q16" s="198"/>
      <c r="R16" s="199">
        <v>7</v>
      </c>
      <c r="S16" s="200">
        <v>6</v>
      </c>
      <c r="T16" s="200">
        <v>5</v>
      </c>
      <c r="U16" s="201">
        <v>4</v>
      </c>
      <c r="V16" s="169">
        <f t="shared" si="0"/>
        <v>5259.4337404121088</v>
      </c>
    </row>
    <row r="17" spans="1:22" ht="15.75" x14ac:dyDescent="0.25">
      <c r="A17" s="203">
        <v>36</v>
      </c>
      <c r="B17" s="170"/>
      <c r="C17" s="204"/>
      <c r="D17" s="204"/>
      <c r="E17" s="205"/>
      <c r="F17" s="206"/>
      <c r="G17" s="207"/>
      <c r="H17" s="207"/>
      <c r="I17" s="208"/>
      <c r="J17" s="209"/>
      <c r="K17" s="210"/>
      <c r="L17" s="210"/>
      <c r="M17" s="211"/>
      <c r="N17" s="196"/>
      <c r="O17" s="197"/>
      <c r="P17" s="197"/>
      <c r="Q17" s="198"/>
      <c r="R17" s="199">
        <v>6</v>
      </c>
      <c r="S17" s="200">
        <v>5</v>
      </c>
      <c r="T17" s="200">
        <v>4</v>
      </c>
      <c r="U17" s="201">
        <v>3</v>
      </c>
      <c r="V17" s="169">
        <f t="shared" si="0"/>
        <v>5062.0151495785458</v>
      </c>
    </row>
    <row r="18" spans="1:22" ht="15.75" x14ac:dyDescent="0.25">
      <c r="A18" s="203">
        <v>35</v>
      </c>
      <c r="B18" s="170"/>
      <c r="C18" s="204"/>
      <c r="D18" s="204"/>
      <c r="E18" s="205"/>
      <c r="F18" s="206"/>
      <c r="G18" s="207"/>
      <c r="H18" s="207"/>
      <c r="I18" s="208"/>
      <c r="J18" s="209"/>
      <c r="K18" s="210"/>
      <c r="L18" s="210"/>
      <c r="M18" s="211"/>
      <c r="N18" s="196"/>
      <c r="O18" s="197"/>
      <c r="P18" s="197"/>
      <c r="Q18" s="198">
        <v>16</v>
      </c>
      <c r="R18" s="199">
        <v>5</v>
      </c>
      <c r="S18" s="200">
        <v>4</v>
      </c>
      <c r="T18" s="200">
        <v>3</v>
      </c>
      <c r="U18" s="201">
        <v>2</v>
      </c>
      <c r="V18" s="169">
        <f t="shared" si="0"/>
        <v>4872.006881211305</v>
      </c>
    </row>
    <row r="19" spans="1:22" ht="15.75" x14ac:dyDescent="0.25">
      <c r="A19" s="203">
        <v>34</v>
      </c>
      <c r="B19" s="170"/>
      <c r="C19" s="204"/>
      <c r="D19" s="204"/>
      <c r="E19" s="205"/>
      <c r="F19" s="206"/>
      <c r="G19" s="207"/>
      <c r="H19" s="207"/>
      <c r="I19" s="208"/>
      <c r="J19" s="209"/>
      <c r="K19" s="210"/>
      <c r="L19" s="210"/>
      <c r="M19" s="211"/>
      <c r="N19" s="196"/>
      <c r="O19" s="197"/>
      <c r="P19" s="197">
        <v>16</v>
      </c>
      <c r="Q19" s="198">
        <v>15</v>
      </c>
      <c r="R19" s="199">
        <v>4</v>
      </c>
      <c r="S19" s="200">
        <v>3</v>
      </c>
      <c r="T19" s="200">
        <v>2</v>
      </c>
      <c r="U19" s="201">
        <v>1</v>
      </c>
      <c r="V19" s="169">
        <f t="shared" si="0"/>
        <v>4689.1307807616031</v>
      </c>
    </row>
    <row r="20" spans="1:22" ht="15.75" x14ac:dyDescent="0.25">
      <c r="A20" s="203">
        <v>33</v>
      </c>
      <c r="B20" s="170"/>
      <c r="C20" s="204"/>
      <c r="D20" s="204"/>
      <c r="E20" s="205"/>
      <c r="F20" s="206"/>
      <c r="G20" s="207"/>
      <c r="H20" s="207"/>
      <c r="I20" s="208"/>
      <c r="J20" s="209"/>
      <c r="K20" s="210"/>
      <c r="L20" s="210"/>
      <c r="M20" s="211"/>
      <c r="N20" s="196"/>
      <c r="O20" s="197">
        <v>16</v>
      </c>
      <c r="P20" s="197">
        <v>15</v>
      </c>
      <c r="Q20" s="198">
        <v>14</v>
      </c>
      <c r="R20" s="199">
        <v>3</v>
      </c>
      <c r="S20" s="200">
        <v>2</v>
      </c>
      <c r="T20" s="200">
        <v>1</v>
      </c>
      <c r="U20" s="201"/>
      <c r="V20" s="169">
        <f t="shared" si="0"/>
        <v>4513.1191345154994</v>
      </c>
    </row>
    <row r="21" spans="1:22" ht="15.75" x14ac:dyDescent="0.25">
      <c r="A21" s="203">
        <v>32</v>
      </c>
      <c r="B21" s="170"/>
      <c r="C21" s="204"/>
      <c r="D21" s="204"/>
      <c r="E21" s="205"/>
      <c r="F21" s="206"/>
      <c r="G21" s="207"/>
      <c r="H21" s="207"/>
      <c r="I21" s="208"/>
      <c r="J21" s="209"/>
      <c r="K21" s="210"/>
      <c r="L21" s="210"/>
      <c r="M21" s="211"/>
      <c r="N21" s="196">
        <v>16</v>
      </c>
      <c r="O21" s="197">
        <v>15</v>
      </c>
      <c r="P21" s="197">
        <v>14</v>
      </c>
      <c r="Q21" s="198">
        <v>13</v>
      </c>
      <c r="R21" s="199">
        <v>2</v>
      </c>
      <c r="S21" s="200">
        <v>1</v>
      </c>
      <c r="T21" s="200"/>
      <c r="U21" s="201"/>
      <c r="V21" s="169">
        <f t="shared" si="0"/>
        <v>4343.7142776857554</v>
      </c>
    </row>
    <row r="22" spans="1:22" ht="15.75" x14ac:dyDescent="0.25">
      <c r="A22" s="203">
        <v>31</v>
      </c>
      <c r="B22" s="170"/>
      <c r="C22" s="204"/>
      <c r="D22" s="204"/>
      <c r="E22" s="205"/>
      <c r="F22" s="206"/>
      <c r="G22" s="207"/>
      <c r="H22" s="207"/>
      <c r="I22" s="208"/>
      <c r="J22" s="209"/>
      <c r="K22" s="210"/>
      <c r="L22" s="210"/>
      <c r="M22" s="211"/>
      <c r="N22" s="196">
        <v>15</v>
      </c>
      <c r="O22" s="197">
        <v>14</v>
      </c>
      <c r="P22" s="197">
        <v>13</v>
      </c>
      <c r="Q22" s="198">
        <v>12</v>
      </c>
      <c r="R22" s="212">
        <v>1</v>
      </c>
      <c r="S22" s="213"/>
      <c r="T22" s="213"/>
      <c r="U22" s="214"/>
      <c r="V22" s="169">
        <f t="shared" si="0"/>
        <v>4180.6682172143946</v>
      </c>
    </row>
    <row r="23" spans="1:22" ht="15.75" x14ac:dyDescent="0.25">
      <c r="A23" s="203">
        <v>30</v>
      </c>
      <c r="B23" s="170"/>
      <c r="C23" s="204"/>
      <c r="D23" s="204"/>
      <c r="E23" s="205"/>
      <c r="F23" s="206"/>
      <c r="G23" s="207"/>
      <c r="H23" s="207"/>
      <c r="I23" s="208"/>
      <c r="J23" s="209"/>
      <c r="K23" s="210"/>
      <c r="L23" s="210"/>
      <c r="M23" s="211"/>
      <c r="N23" s="196">
        <v>14</v>
      </c>
      <c r="O23" s="197">
        <v>13</v>
      </c>
      <c r="P23" s="197">
        <v>12</v>
      </c>
      <c r="Q23" s="198">
        <v>11</v>
      </c>
      <c r="R23" s="212"/>
      <c r="S23" s="213"/>
      <c r="T23" s="213"/>
      <c r="U23" s="214"/>
      <c r="V23" s="169">
        <f t="shared" si="0"/>
        <v>4023.7422687337776</v>
      </c>
    </row>
    <row r="24" spans="1:22" ht="15.75" x14ac:dyDescent="0.25">
      <c r="A24" s="203">
        <v>29</v>
      </c>
      <c r="B24" s="170"/>
      <c r="C24" s="204"/>
      <c r="D24" s="204"/>
      <c r="E24" s="205"/>
      <c r="F24" s="206"/>
      <c r="G24" s="207"/>
      <c r="H24" s="207"/>
      <c r="I24" s="208"/>
      <c r="J24" s="209"/>
      <c r="K24" s="210"/>
      <c r="L24" s="210"/>
      <c r="M24" s="211">
        <v>16</v>
      </c>
      <c r="N24" s="196">
        <v>13</v>
      </c>
      <c r="O24" s="197">
        <v>12</v>
      </c>
      <c r="P24" s="197">
        <v>11</v>
      </c>
      <c r="Q24" s="198">
        <v>10</v>
      </c>
      <c r="R24" s="212"/>
      <c r="S24" s="213"/>
      <c r="T24" s="213"/>
      <c r="U24" s="214"/>
      <c r="V24" s="169">
        <f t="shared" si="0"/>
        <v>3872.7067071547431</v>
      </c>
    </row>
    <row r="25" spans="1:22" ht="15.75" x14ac:dyDescent="0.25">
      <c r="A25" s="203">
        <v>28</v>
      </c>
      <c r="B25" s="170"/>
      <c r="C25" s="204"/>
      <c r="D25" s="204"/>
      <c r="E25" s="205"/>
      <c r="F25" s="206"/>
      <c r="G25" s="207"/>
      <c r="H25" s="207"/>
      <c r="I25" s="208"/>
      <c r="J25" s="209"/>
      <c r="K25" s="210"/>
      <c r="L25" s="210">
        <v>16</v>
      </c>
      <c r="M25" s="211">
        <v>15</v>
      </c>
      <c r="N25" s="196">
        <v>12</v>
      </c>
      <c r="O25" s="197">
        <v>11</v>
      </c>
      <c r="P25" s="197">
        <v>10</v>
      </c>
      <c r="Q25" s="198">
        <v>9</v>
      </c>
      <c r="R25" s="212"/>
      <c r="S25" s="213"/>
      <c r="T25" s="213"/>
      <c r="U25" s="214"/>
      <c r="V25" s="169">
        <f t="shared" si="0"/>
        <v>3727.3404303703014</v>
      </c>
    </row>
    <row r="26" spans="1:22" ht="15.75" x14ac:dyDescent="0.25">
      <c r="A26" s="203">
        <v>27</v>
      </c>
      <c r="B26" s="170"/>
      <c r="C26" s="204"/>
      <c r="D26" s="204"/>
      <c r="E26" s="205"/>
      <c r="F26" s="206"/>
      <c r="G26" s="207"/>
      <c r="H26" s="207"/>
      <c r="I26" s="208"/>
      <c r="J26" s="209"/>
      <c r="K26" s="210">
        <v>16</v>
      </c>
      <c r="L26" s="210">
        <v>15</v>
      </c>
      <c r="M26" s="211">
        <v>14</v>
      </c>
      <c r="N26" s="196">
        <v>11</v>
      </c>
      <c r="O26" s="197">
        <v>10</v>
      </c>
      <c r="P26" s="197">
        <v>9</v>
      </c>
      <c r="Q26" s="198">
        <v>8</v>
      </c>
      <c r="R26" s="212"/>
      <c r="S26" s="213"/>
      <c r="T26" s="213"/>
      <c r="U26" s="214"/>
      <c r="V26" s="169">
        <f t="shared" si="0"/>
        <v>3587.4306355825811</v>
      </c>
    </row>
    <row r="27" spans="1:22" ht="15.75" x14ac:dyDescent="0.25">
      <c r="A27" s="203">
        <v>26</v>
      </c>
      <c r="B27" s="170"/>
      <c r="C27" s="204"/>
      <c r="D27" s="204"/>
      <c r="E27" s="205"/>
      <c r="F27" s="206"/>
      <c r="G27" s="207"/>
      <c r="H27" s="207"/>
      <c r="I27" s="208"/>
      <c r="J27" s="209">
        <v>16</v>
      </c>
      <c r="K27" s="210">
        <v>15</v>
      </c>
      <c r="L27" s="210">
        <v>14</v>
      </c>
      <c r="M27" s="211">
        <v>13</v>
      </c>
      <c r="N27" s="196">
        <v>10</v>
      </c>
      <c r="O27" s="197">
        <v>9</v>
      </c>
      <c r="P27" s="197">
        <v>8</v>
      </c>
      <c r="Q27" s="198">
        <v>7</v>
      </c>
      <c r="R27" s="212"/>
      <c r="S27" s="213"/>
      <c r="T27" s="213"/>
      <c r="U27" s="214"/>
      <c r="V27" s="169">
        <f t="shared" si="0"/>
        <v>3452.7725077791929</v>
      </c>
    </row>
    <row r="28" spans="1:22" ht="15.75" x14ac:dyDescent="0.25">
      <c r="A28" s="203">
        <v>25</v>
      </c>
      <c r="B28" s="170"/>
      <c r="C28" s="204"/>
      <c r="D28" s="204"/>
      <c r="E28" s="205"/>
      <c r="F28" s="206"/>
      <c r="G28" s="207"/>
      <c r="H28" s="207"/>
      <c r="I28" s="208"/>
      <c r="J28" s="209">
        <v>15</v>
      </c>
      <c r="K28" s="210">
        <v>14</v>
      </c>
      <c r="L28" s="210">
        <v>13</v>
      </c>
      <c r="M28" s="211">
        <v>12</v>
      </c>
      <c r="N28" s="196">
        <v>9</v>
      </c>
      <c r="O28" s="197">
        <v>8</v>
      </c>
      <c r="P28" s="197">
        <v>7</v>
      </c>
      <c r="Q28" s="198">
        <v>6</v>
      </c>
      <c r="R28" s="212"/>
      <c r="S28" s="213"/>
      <c r="T28" s="213"/>
      <c r="U28" s="214"/>
      <c r="V28" s="169">
        <f t="shared" si="0"/>
        <v>3323.168919902977</v>
      </c>
    </row>
    <row r="29" spans="1:22" ht="15.75" x14ac:dyDescent="0.25">
      <c r="A29" s="203">
        <v>24</v>
      </c>
      <c r="B29" s="170"/>
      <c r="C29" s="204"/>
      <c r="D29" s="204"/>
      <c r="E29" s="205"/>
      <c r="F29" s="206"/>
      <c r="G29" s="207"/>
      <c r="H29" s="207"/>
      <c r="I29" s="208">
        <v>16</v>
      </c>
      <c r="J29" s="209">
        <v>14</v>
      </c>
      <c r="K29" s="210">
        <v>13</v>
      </c>
      <c r="L29" s="210">
        <v>12</v>
      </c>
      <c r="M29" s="211">
        <v>11</v>
      </c>
      <c r="N29" s="196">
        <v>8</v>
      </c>
      <c r="O29" s="197">
        <v>7</v>
      </c>
      <c r="P29" s="197">
        <v>6</v>
      </c>
      <c r="Q29" s="198">
        <v>5</v>
      </c>
      <c r="R29" s="212"/>
      <c r="S29" s="213"/>
      <c r="T29" s="213"/>
      <c r="U29" s="214"/>
      <c r="V29" s="169">
        <f t="shared" si="0"/>
        <v>3198.4301442762053</v>
      </c>
    </row>
    <row r="30" spans="1:22" ht="15.75" x14ac:dyDescent="0.25">
      <c r="A30" s="203">
        <v>23</v>
      </c>
      <c r="B30" s="170"/>
      <c r="C30" s="204"/>
      <c r="D30" s="204"/>
      <c r="E30" s="205"/>
      <c r="F30" s="206"/>
      <c r="G30" s="207"/>
      <c r="H30" s="207">
        <v>16</v>
      </c>
      <c r="I30" s="208">
        <v>15</v>
      </c>
      <c r="J30" s="209">
        <v>13</v>
      </c>
      <c r="K30" s="210">
        <v>12</v>
      </c>
      <c r="L30" s="210">
        <v>11</v>
      </c>
      <c r="M30" s="211">
        <v>10</v>
      </c>
      <c r="N30" s="196">
        <v>7</v>
      </c>
      <c r="O30" s="197">
        <v>6</v>
      </c>
      <c r="P30" s="197">
        <v>5</v>
      </c>
      <c r="Q30" s="198">
        <v>4</v>
      </c>
      <c r="R30" s="212"/>
      <c r="S30" s="213"/>
      <c r="T30" s="213"/>
      <c r="U30" s="214"/>
      <c r="V30" s="169">
        <f t="shared" si="0"/>
        <v>3078.3735748567906</v>
      </c>
    </row>
    <row r="31" spans="1:22" ht="15.75" x14ac:dyDescent="0.25">
      <c r="A31" s="203">
        <v>22</v>
      </c>
      <c r="B31" s="170"/>
      <c r="C31" s="204"/>
      <c r="D31" s="204"/>
      <c r="E31" s="205"/>
      <c r="F31" s="206"/>
      <c r="G31" s="207">
        <v>16</v>
      </c>
      <c r="H31" s="207">
        <v>15</v>
      </c>
      <c r="I31" s="208">
        <v>14</v>
      </c>
      <c r="J31" s="209">
        <v>12</v>
      </c>
      <c r="K31" s="210">
        <v>11</v>
      </c>
      <c r="L31" s="210">
        <v>10</v>
      </c>
      <c r="M31" s="211">
        <v>9</v>
      </c>
      <c r="N31" s="196">
        <v>6</v>
      </c>
      <c r="O31" s="197">
        <v>5</v>
      </c>
      <c r="P31" s="197">
        <v>4</v>
      </c>
      <c r="Q31" s="198">
        <v>3</v>
      </c>
      <c r="R31" s="199"/>
      <c r="S31" s="200"/>
      <c r="T31" s="200"/>
      <c r="U31" s="201"/>
      <c r="V31" s="169">
        <f t="shared" si="0"/>
        <v>2962.8234599199141</v>
      </c>
    </row>
    <row r="32" spans="1:22" ht="15.75" x14ac:dyDescent="0.25">
      <c r="A32" s="203">
        <v>21</v>
      </c>
      <c r="B32" s="170"/>
      <c r="C32" s="204"/>
      <c r="D32" s="204"/>
      <c r="E32" s="205"/>
      <c r="F32" s="206">
        <v>16</v>
      </c>
      <c r="G32" s="207">
        <v>15</v>
      </c>
      <c r="H32" s="207">
        <v>14</v>
      </c>
      <c r="I32" s="208">
        <v>13</v>
      </c>
      <c r="J32" s="209">
        <v>11</v>
      </c>
      <c r="K32" s="210">
        <v>10</v>
      </c>
      <c r="L32" s="210">
        <v>9</v>
      </c>
      <c r="M32" s="211">
        <v>8</v>
      </c>
      <c r="N32" s="196">
        <v>5</v>
      </c>
      <c r="O32" s="197">
        <v>4</v>
      </c>
      <c r="P32" s="197">
        <v>3</v>
      </c>
      <c r="Q32" s="198">
        <v>2</v>
      </c>
      <c r="R32" s="199"/>
      <c r="S32" s="200"/>
      <c r="T32" s="200"/>
      <c r="U32" s="201"/>
      <c r="V32" s="169">
        <f t="shared" si="0"/>
        <v>2851.6106447737384</v>
      </c>
    </row>
    <row r="33" spans="1:22" ht="15.75" x14ac:dyDescent="0.25">
      <c r="A33" s="203">
        <v>20</v>
      </c>
      <c r="B33" s="170"/>
      <c r="C33" s="204"/>
      <c r="D33" s="204"/>
      <c r="E33" s="205"/>
      <c r="F33" s="206">
        <v>15</v>
      </c>
      <c r="G33" s="207">
        <v>14</v>
      </c>
      <c r="H33" s="207">
        <v>13</v>
      </c>
      <c r="I33" s="208">
        <v>12</v>
      </c>
      <c r="J33" s="209">
        <v>10</v>
      </c>
      <c r="K33" s="210">
        <v>9</v>
      </c>
      <c r="L33" s="210">
        <v>8</v>
      </c>
      <c r="M33" s="211">
        <v>7</v>
      </c>
      <c r="N33" s="196">
        <v>4</v>
      </c>
      <c r="O33" s="197">
        <v>3</v>
      </c>
      <c r="P33" s="197">
        <v>2</v>
      </c>
      <c r="Q33" s="198">
        <v>1</v>
      </c>
      <c r="R33" s="199"/>
      <c r="S33" s="200"/>
      <c r="T33" s="200"/>
      <c r="U33" s="201"/>
      <c r="V33" s="169">
        <f t="shared" si="0"/>
        <v>2744.5723241325686</v>
      </c>
    </row>
    <row r="34" spans="1:22" ht="15.75" x14ac:dyDescent="0.25">
      <c r="A34" s="203">
        <v>19</v>
      </c>
      <c r="B34" s="170"/>
      <c r="C34" s="204"/>
      <c r="D34" s="204"/>
      <c r="E34" s="205">
        <v>16</v>
      </c>
      <c r="F34" s="206">
        <v>14</v>
      </c>
      <c r="G34" s="207">
        <v>13</v>
      </c>
      <c r="H34" s="207">
        <v>12</v>
      </c>
      <c r="I34" s="208">
        <v>11</v>
      </c>
      <c r="J34" s="209">
        <v>9</v>
      </c>
      <c r="K34" s="210">
        <v>8</v>
      </c>
      <c r="L34" s="210">
        <v>7</v>
      </c>
      <c r="M34" s="211">
        <v>6</v>
      </c>
      <c r="N34" s="196">
        <v>3</v>
      </c>
      <c r="O34" s="197">
        <v>2</v>
      </c>
      <c r="P34" s="197">
        <v>1</v>
      </c>
      <c r="Q34" s="198"/>
      <c r="R34" s="199"/>
      <c r="S34" s="200"/>
      <c r="T34" s="200"/>
      <c r="U34" s="201"/>
      <c r="V34" s="169">
        <f t="shared" si="0"/>
        <v>2641.5518037849556</v>
      </c>
    </row>
    <row r="35" spans="1:22" ht="15.75" x14ac:dyDescent="0.25">
      <c r="A35" s="203">
        <v>18</v>
      </c>
      <c r="B35" s="170"/>
      <c r="C35" s="204"/>
      <c r="D35" s="204">
        <v>16</v>
      </c>
      <c r="E35" s="205">
        <v>15</v>
      </c>
      <c r="F35" s="206">
        <v>13</v>
      </c>
      <c r="G35" s="207">
        <v>12</v>
      </c>
      <c r="H35" s="207">
        <v>11</v>
      </c>
      <c r="I35" s="208">
        <v>10</v>
      </c>
      <c r="J35" s="209">
        <v>8</v>
      </c>
      <c r="K35" s="210">
        <v>7</v>
      </c>
      <c r="L35" s="210">
        <v>6</v>
      </c>
      <c r="M35" s="211">
        <v>5</v>
      </c>
      <c r="N35" s="196">
        <v>2</v>
      </c>
      <c r="O35" s="197">
        <v>1</v>
      </c>
      <c r="P35" s="197"/>
      <c r="Q35" s="198"/>
      <c r="R35" s="199"/>
      <c r="S35" s="200"/>
      <c r="T35" s="200"/>
      <c r="U35" s="201"/>
      <c r="V35" s="169">
        <f t="shared" si="0"/>
        <v>2542.3982712078496</v>
      </c>
    </row>
    <row r="36" spans="1:22" ht="15.75" x14ac:dyDescent="0.25">
      <c r="A36" s="203">
        <v>17</v>
      </c>
      <c r="B36" s="170"/>
      <c r="C36" s="204">
        <v>16</v>
      </c>
      <c r="D36" s="204">
        <v>15</v>
      </c>
      <c r="E36" s="205">
        <v>14</v>
      </c>
      <c r="F36" s="206">
        <v>12</v>
      </c>
      <c r="G36" s="207">
        <v>11</v>
      </c>
      <c r="H36" s="207">
        <v>10</v>
      </c>
      <c r="I36" s="208">
        <v>9</v>
      </c>
      <c r="J36" s="209">
        <v>7</v>
      </c>
      <c r="K36" s="210">
        <v>6</v>
      </c>
      <c r="L36" s="210">
        <v>5</v>
      </c>
      <c r="M36" s="211">
        <v>4</v>
      </c>
      <c r="N36" s="215">
        <v>1</v>
      </c>
      <c r="O36" s="216"/>
      <c r="P36" s="216"/>
      <c r="Q36" s="217"/>
      <c r="R36" s="199"/>
      <c r="S36" s="200"/>
      <c r="T36" s="200"/>
      <c r="U36" s="201"/>
      <c r="V36" s="169">
        <f t="shared" si="0"/>
        <v>2446.9665747910008</v>
      </c>
    </row>
    <row r="37" spans="1:22" ht="15.75" x14ac:dyDescent="0.25">
      <c r="A37" s="203">
        <v>16</v>
      </c>
      <c r="B37" s="170">
        <v>16</v>
      </c>
      <c r="C37" s="204">
        <v>15</v>
      </c>
      <c r="D37" s="204">
        <v>14</v>
      </c>
      <c r="E37" s="205">
        <v>13</v>
      </c>
      <c r="F37" s="206">
        <v>11</v>
      </c>
      <c r="G37" s="207">
        <v>10</v>
      </c>
      <c r="H37" s="207">
        <v>9</v>
      </c>
      <c r="I37" s="208">
        <v>8</v>
      </c>
      <c r="J37" s="209">
        <v>6</v>
      </c>
      <c r="K37" s="210">
        <v>5</v>
      </c>
      <c r="L37" s="210">
        <v>4</v>
      </c>
      <c r="M37" s="211">
        <v>3</v>
      </c>
      <c r="N37" s="196"/>
      <c r="O37" s="197"/>
      <c r="P37" s="197"/>
      <c r="Q37" s="198"/>
      <c r="R37" s="199"/>
      <c r="S37" s="200"/>
      <c r="T37" s="200"/>
      <c r="U37" s="201"/>
      <c r="V37" s="169">
        <f t="shared" si="0"/>
        <v>2355.1170113484127</v>
      </c>
    </row>
    <row r="38" spans="1:22" ht="15.75" x14ac:dyDescent="0.25">
      <c r="A38" s="203">
        <v>15</v>
      </c>
      <c r="B38" s="170">
        <v>15</v>
      </c>
      <c r="C38" s="204">
        <v>14</v>
      </c>
      <c r="D38" s="204">
        <v>13</v>
      </c>
      <c r="E38" s="205">
        <v>12</v>
      </c>
      <c r="F38" s="206">
        <v>10</v>
      </c>
      <c r="G38" s="207">
        <v>9</v>
      </c>
      <c r="H38" s="207">
        <v>8</v>
      </c>
      <c r="I38" s="208">
        <v>7</v>
      </c>
      <c r="J38" s="209">
        <v>5</v>
      </c>
      <c r="K38" s="210">
        <v>4</v>
      </c>
      <c r="L38" s="210">
        <v>3</v>
      </c>
      <c r="M38" s="211">
        <v>2</v>
      </c>
      <c r="N38" s="196"/>
      <c r="O38" s="197"/>
      <c r="P38" s="197"/>
      <c r="Q38" s="198"/>
      <c r="R38" s="199"/>
      <c r="S38" s="200"/>
      <c r="T38" s="200"/>
      <c r="U38" s="201"/>
      <c r="V38" s="169">
        <f t="shared" si="0"/>
        <v>2266.7151216057873</v>
      </c>
    </row>
    <row r="39" spans="1:22" ht="15.75" x14ac:dyDescent="0.25">
      <c r="A39" s="203">
        <v>14</v>
      </c>
      <c r="B39" s="170">
        <v>14</v>
      </c>
      <c r="C39" s="204">
        <v>13</v>
      </c>
      <c r="D39" s="204">
        <v>12</v>
      </c>
      <c r="E39" s="205">
        <v>11</v>
      </c>
      <c r="F39" s="206">
        <v>9</v>
      </c>
      <c r="G39" s="207">
        <v>8</v>
      </c>
      <c r="H39" s="207">
        <v>7</v>
      </c>
      <c r="I39" s="208">
        <v>6</v>
      </c>
      <c r="J39" s="209">
        <v>4</v>
      </c>
      <c r="K39" s="210">
        <v>3</v>
      </c>
      <c r="L39" s="210">
        <v>2</v>
      </c>
      <c r="M39" s="211">
        <v>1</v>
      </c>
      <c r="N39" s="196"/>
      <c r="O39" s="197"/>
      <c r="P39" s="197"/>
      <c r="Q39" s="198"/>
      <c r="R39" s="199"/>
      <c r="S39" s="200"/>
      <c r="T39" s="200"/>
      <c r="U39" s="201"/>
      <c r="V39" s="169">
        <f t="shared" si="0"/>
        <v>2181.6314933645695</v>
      </c>
    </row>
    <row r="40" spans="1:22" ht="15.75" x14ac:dyDescent="0.25">
      <c r="A40" s="203">
        <v>13</v>
      </c>
      <c r="B40" s="170">
        <v>13</v>
      </c>
      <c r="C40" s="204">
        <v>12</v>
      </c>
      <c r="D40" s="204">
        <v>11</v>
      </c>
      <c r="E40" s="205">
        <v>10</v>
      </c>
      <c r="F40" s="206">
        <v>8</v>
      </c>
      <c r="G40" s="207">
        <v>7</v>
      </c>
      <c r="H40" s="207">
        <v>6</v>
      </c>
      <c r="I40" s="208">
        <v>5</v>
      </c>
      <c r="J40" s="209">
        <v>3</v>
      </c>
      <c r="K40" s="210">
        <v>2</v>
      </c>
      <c r="L40" s="210">
        <v>1</v>
      </c>
      <c r="M40" s="211"/>
      <c r="N40" s="196"/>
      <c r="O40" s="197"/>
      <c r="P40" s="197"/>
      <c r="Q40" s="198"/>
      <c r="R40" s="199"/>
      <c r="S40" s="200"/>
      <c r="T40" s="200"/>
      <c r="U40" s="201"/>
      <c r="V40" s="169">
        <f t="shared" si="0"/>
        <v>2099.7415720544464</v>
      </c>
    </row>
    <row r="41" spans="1:22" ht="15.75" x14ac:dyDescent="0.25">
      <c r="A41" s="203">
        <v>12</v>
      </c>
      <c r="B41" s="170">
        <v>12</v>
      </c>
      <c r="C41" s="204">
        <v>11</v>
      </c>
      <c r="D41" s="204">
        <v>10</v>
      </c>
      <c r="E41" s="205">
        <v>9</v>
      </c>
      <c r="F41" s="206">
        <v>7</v>
      </c>
      <c r="G41" s="207">
        <v>6</v>
      </c>
      <c r="H41" s="207">
        <v>5</v>
      </c>
      <c r="I41" s="208">
        <v>4</v>
      </c>
      <c r="J41" s="209">
        <v>2</v>
      </c>
      <c r="K41" s="210">
        <v>1</v>
      </c>
      <c r="L41" s="210"/>
      <c r="M41" s="211"/>
      <c r="N41" s="196"/>
      <c r="O41" s="197"/>
      <c r="P41" s="197"/>
      <c r="Q41" s="198"/>
      <c r="R41" s="199"/>
      <c r="S41" s="200"/>
      <c r="T41" s="200"/>
      <c r="U41" s="201"/>
      <c r="V41" s="169">
        <f t="shared" si="0"/>
        <v>2020.925478396965</v>
      </c>
    </row>
    <row r="42" spans="1:22" ht="15.75" x14ac:dyDescent="0.25">
      <c r="A42" s="203">
        <v>11</v>
      </c>
      <c r="B42" s="170">
        <v>11</v>
      </c>
      <c r="C42" s="204">
        <v>10</v>
      </c>
      <c r="D42" s="204">
        <v>9</v>
      </c>
      <c r="E42" s="205">
        <v>8</v>
      </c>
      <c r="F42" s="206">
        <v>6</v>
      </c>
      <c r="G42" s="207">
        <v>5</v>
      </c>
      <c r="H42" s="207">
        <v>4</v>
      </c>
      <c r="I42" s="208">
        <v>3</v>
      </c>
      <c r="J42" s="209">
        <v>1</v>
      </c>
      <c r="K42" s="210"/>
      <c r="L42" s="210"/>
      <c r="M42" s="211"/>
      <c r="N42" s="196"/>
      <c r="O42" s="197"/>
      <c r="P42" s="197"/>
      <c r="Q42" s="198"/>
      <c r="R42" s="199"/>
      <c r="S42" s="200"/>
      <c r="T42" s="200"/>
      <c r="U42" s="201"/>
      <c r="V42" s="169">
        <f t="shared" si="0"/>
        <v>1945.0678329133448</v>
      </c>
    </row>
    <row r="43" spans="1:22" ht="15.75" x14ac:dyDescent="0.25">
      <c r="A43" s="203">
        <v>10</v>
      </c>
      <c r="B43" s="170">
        <v>10</v>
      </c>
      <c r="C43" s="204">
        <v>9</v>
      </c>
      <c r="D43" s="204">
        <v>8</v>
      </c>
      <c r="E43" s="205">
        <v>7</v>
      </c>
      <c r="F43" s="206">
        <v>5</v>
      </c>
      <c r="G43" s="207">
        <v>4</v>
      </c>
      <c r="H43" s="207">
        <v>3</v>
      </c>
      <c r="I43" s="208">
        <v>2</v>
      </c>
      <c r="J43" s="209"/>
      <c r="K43" s="210"/>
      <c r="L43" s="210"/>
      <c r="M43" s="211"/>
      <c r="N43" s="196"/>
      <c r="O43" s="197"/>
      <c r="P43" s="197"/>
      <c r="Q43" s="198"/>
      <c r="R43" s="199"/>
      <c r="S43" s="200"/>
      <c r="T43" s="200"/>
      <c r="U43" s="201"/>
      <c r="V43" s="169">
        <f t="shared" si="0"/>
        <v>1872.0575870195812</v>
      </c>
    </row>
    <row r="44" spans="1:22" ht="15.75" x14ac:dyDescent="0.25">
      <c r="A44" s="203">
        <v>9</v>
      </c>
      <c r="B44" s="170">
        <v>9</v>
      </c>
      <c r="C44" s="204">
        <v>8</v>
      </c>
      <c r="D44" s="204">
        <v>7</v>
      </c>
      <c r="E44" s="205">
        <v>6</v>
      </c>
      <c r="F44" s="206">
        <v>4</v>
      </c>
      <c r="G44" s="207">
        <v>3</v>
      </c>
      <c r="H44" s="207">
        <v>2</v>
      </c>
      <c r="I44" s="208">
        <v>1</v>
      </c>
      <c r="J44" s="209"/>
      <c r="K44" s="210"/>
      <c r="L44" s="210"/>
      <c r="M44" s="211"/>
      <c r="N44" s="196"/>
      <c r="O44" s="197"/>
      <c r="P44" s="197"/>
      <c r="Q44" s="198"/>
      <c r="R44" s="199"/>
      <c r="S44" s="200"/>
      <c r="T44" s="200"/>
      <c r="U44" s="201"/>
      <c r="V44" s="169">
        <f t="shared" si="0"/>
        <v>1801.7878604615798</v>
      </c>
    </row>
    <row r="45" spans="1:22" ht="15.75" x14ac:dyDescent="0.25">
      <c r="A45" s="203">
        <v>8</v>
      </c>
      <c r="B45" s="170">
        <v>8</v>
      </c>
      <c r="C45" s="204">
        <v>7</v>
      </c>
      <c r="D45" s="204">
        <v>6</v>
      </c>
      <c r="E45" s="205">
        <v>5</v>
      </c>
      <c r="F45" s="206">
        <v>3</v>
      </c>
      <c r="G45" s="207">
        <v>2</v>
      </c>
      <c r="H45" s="207">
        <v>1</v>
      </c>
      <c r="I45" s="208"/>
      <c r="J45" s="209"/>
      <c r="K45" s="210"/>
      <c r="L45" s="210"/>
      <c r="M45" s="211"/>
      <c r="N45" s="196"/>
      <c r="O45" s="197"/>
      <c r="P45" s="197"/>
      <c r="Q45" s="198"/>
      <c r="R45" s="199"/>
      <c r="S45" s="200"/>
      <c r="T45" s="200"/>
      <c r="U45" s="201"/>
      <c r="V45" s="169">
        <f t="shared" si="0"/>
        <v>1734.1557848523387</v>
      </c>
    </row>
    <row r="46" spans="1:22" ht="15.75" x14ac:dyDescent="0.25">
      <c r="A46" s="203">
        <v>7</v>
      </c>
      <c r="B46" s="170">
        <v>7</v>
      </c>
      <c r="C46" s="204">
        <v>6</v>
      </c>
      <c r="D46" s="204">
        <v>5</v>
      </c>
      <c r="E46" s="205">
        <v>4</v>
      </c>
      <c r="F46" s="206">
        <v>2</v>
      </c>
      <c r="G46" s="207">
        <v>1</v>
      </c>
      <c r="H46" s="207"/>
      <c r="I46" s="208"/>
      <c r="J46" s="209"/>
      <c r="K46" s="210"/>
      <c r="L46" s="210"/>
      <c r="M46" s="211"/>
      <c r="N46" s="196"/>
      <c r="O46" s="197"/>
      <c r="P46" s="197"/>
      <c r="Q46" s="198"/>
      <c r="R46" s="199"/>
      <c r="S46" s="200"/>
      <c r="T46" s="200"/>
      <c r="U46" s="201"/>
      <c r="V46" s="169">
        <f t="shared" si="0"/>
        <v>1669.0623530821356</v>
      </c>
    </row>
    <row r="47" spans="1:22" ht="15.75" x14ac:dyDescent="0.25">
      <c r="A47" s="203">
        <v>6</v>
      </c>
      <c r="B47" s="170">
        <v>6</v>
      </c>
      <c r="C47" s="204">
        <v>5</v>
      </c>
      <c r="D47" s="204">
        <v>4</v>
      </c>
      <c r="E47" s="205">
        <v>3</v>
      </c>
      <c r="F47" s="206">
        <v>1</v>
      </c>
      <c r="G47" s="207"/>
      <c r="H47" s="207"/>
      <c r="I47" s="208"/>
      <c r="J47" s="209"/>
      <c r="K47" s="210"/>
      <c r="L47" s="210"/>
      <c r="M47" s="211"/>
      <c r="N47" s="196"/>
      <c r="O47" s="197"/>
      <c r="P47" s="197"/>
      <c r="Q47" s="198"/>
      <c r="R47" s="199"/>
      <c r="S47" s="200"/>
      <c r="T47" s="200"/>
      <c r="U47" s="201"/>
      <c r="V47" s="169">
        <f t="shared" si="0"/>
        <v>1606.4122743812663</v>
      </c>
    </row>
    <row r="48" spans="1:22" ht="15.75" x14ac:dyDescent="0.25">
      <c r="A48" s="203">
        <v>5</v>
      </c>
      <c r="B48" s="170">
        <v>5</v>
      </c>
      <c r="C48" s="204">
        <v>4</v>
      </c>
      <c r="D48" s="204">
        <v>3</v>
      </c>
      <c r="E48" s="205">
        <v>2</v>
      </c>
      <c r="F48" s="206"/>
      <c r="G48" s="207"/>
      <c r="H48" s="207"/>
      <c r="I48" s="208"/>
      <c r="J48" s="209"/>
      <c r="K48" s="210"/>
      <c r="L48" s="210"/>
      <c r="M48" s="211"/>
      <c r="N48" s="196"/>
      <c r="O48" s="197"/>
      <c r="P48" s="197"/>
      <c r="Q48" s="198"/>
      <c r="R48" s="199"/>
      <c r="S48" s="200"/>
      <c r="T48" s="200"/>
      <c r="U48" s="201"/>
      <c r="V48" s="169">
        <f t="shared" si="0"/>
        <v>1546.1138348231632</v>
      </c>
    </row>
    <row r="49" spans="1:22" ht="15.75" x14ac:dyDescent="0.25">
      <c r="A49" s="203">
        <v>4</v>
      </c>
      <c r="B49" s="170">
        <v>4</v>
      </c>
      <c r="C49" s="204">
        <v>3</v>
      </c>
      <c r="D49" s="204">
        <v>2</v>
      </c>
      <c r="E49" s="205">
        <v>1</v>
      </c>
      <c r="F49" s="206"/>
      <c r="G49" s="207"/>
      <c r="H49" s="207"/>
      <c r="I49" s="208"/>
      <c r="J49" s="209"/>
      <c r="K49" s="210"/>
      <c r="L49" s="210"/>
      <c r="M49" s="211"/>
      <c r="N49" s="196"/>
      <c r="O49" s="197"/>
      <c r="P49" s="197"/>
      <c r="Q49" s="198"/>
      <c r="R49" s="199"/>
      <c r="S49" s="200"/>
      <c r="T49" s="200"/>
      <c r="U49" s="201"/>
      <c r="V49" s="169">
        <f t="shared" si="0"/>
        <v>1488.0787630636798</v>
      </c>
    </row>
    <row r="50" spans="1:22" ht="15.75" x14ac:dyDescent="0.25">
      <c r="A50" s="203">
        <v>3</v>
      </c>
      <c r="B50" s="170">
        <v>3</v>
      </c>
      <c r="C50" s="204">
        <v>2</v>
      </c>
      <c r="D50" s="204">
        <v>1</v>
      </c>
      <c r="E50" s="205"/>
      <c r="F50" s="206"/>
      <c r="G50" s="207"/>
      <c r="H50" s="207"/>
      <c r="I50" s="208"/>
      <c r="J50" s="209"/>
      <c r="K50" s="210"/>
      <c r="L50" s="210"/>
      <c r="M50" s="211"/>
      <c r="N50" s="196"/>
      <c r="O50" s="197"/>
      <c r="P50" s="197"/>
      <c r="Q50" s="198"/>
      <c r="R50" s="199"/>
      <c r="S50" s="200"/>
      <c r="T50" s="200"/>
      <c r="U50" s="201"/>
      <c r="V50" s="169">
        <f t="shared" si="0"/>
        <v>1432.2221011199999</v>
      </c>
    </row>
    <row r="51" spans="1:22" ht="15.75" x14ac:dyDescent="0.25">
      <c r="A51" s="203">
        <v>2</v>
      </c>
      <c r="B51" s="170">
        <v>2</v>
      </c>
      <c r="C51" s="204">
        <v>1</v>
      </c>
      <c r="D51" s="204"/>
      <c r="E51" s="205"/>
      <c r="F51" s="206"/>
      <c r="G51" s="207"/>
      <c r="H51" s="207"/>
      <c r="I51" s="208"/>
      <c r="J51" s="209"/>
      <c r="K51" s="210"/>
      <c r="L51" s="210"/>
      <c r="M51" s="211"/>
      <c r="N51" s="196"/>
      <c r="O51" s="197"/>
      <c r="P51" s="197"/>
      <c r="Q51" s="198"/>
      <c r="R51" s="199"/>
      <c r="S51" s="200"/>
      <c r="T51" s="200"/>
      <c r="U51" s="201"/>
      <c r="V51" s="169">
        <f t="shared" si="0"/>
        <v>1378.46208</v>
      </c>
    </row>
    <row r="52" spans="1:22" ht="16.5" thickBot="1" x14ac:dyDescent="0.3">
      <c r="A52" s="218">
        <v>1</v>
      </c>
      <c r="B52" s="219">
        <v>1</v>
      </c>
      <c r="C52" s="220"/>
      <c r="D52" s="220"/>
      <c r="E52" s="221"/>
      <c r="F52" s="222"/>
      <c r="G52" s="223"/>
      <c r="H52" s="223"/>
      <c r="I52" s="224"/>
      <c r="J52" s="225"/>
      <c r="K52" s="226"/>
      <c r="L52" s="226"/>
      <c r="M52" s="227"/>
      <c r="N52" s="228"/>
      <c r="O52" s="229"/>
      <c r="P52" s="229"/>
      <c r="Q52" s="230"/>
      <c r="R52" s="231"/>
      <c r="S52" s="232"/>
      <c r="T52" s="232"/>
      <c r="U52" s="233"/>
      <c r="V52" s="234">
        <f>F7</f>
        <v>1326.72</v>
      </c>
    </row>
  </sheetData>
  <mergeCells count="12">
    <mergeCell ref="F6:I6"/>
    <mergeCell ref="J6:M6"/>
    <mergeCell ref="F7:I7"/>
    <mergeCell ref="J7:M7"/>
    <mergeCell ref="A1:V1"/>
    <mergeCell ref="A2:A3"/>
    <mergeCell ref="B2:E2"/>
    <mergeCell ref="F2:I2"/>
    <mergeCell ref="J2:M2"/>
    <mergeCell ref="N2:Q2"/>
    <mergeCell ref="R2:U2"/>
    <mergeCell ref="V2:V3"/>
  </mergeCells>
  <pageMargins left="0.51181102362204722" right="0.51181102362204722" top="0.78740157480314965" bottom="0.78740157480314965" header="0.31496062992125984" footer="0.31496062992125984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2"/>
  <sheetViews>
    <sheetView workbookViewId="0">
      <pane ySplit="3" topLeftCell="A4" activePane="bottomLeft" state="frozen"/>
      <selection pane="bottomLeft" activeCell="Y5" sqref="Y5"/>
    </sheetView>
  </sheetViews>
  <sheetFormatPr defaultRowHeight="15" x14ac:dyDescent="0.25"/>
  <cols>
    <col min="1" max="21" width="3.7109375" customWidth="1"/>
  </cols>
  <sheetData>
    <row r="1" spans="1:25" ht="16.5" thickBot="1" x14ac:dyDescent="0.3">
      <c r="A1" s="455" t="s">
        <v>41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6"/>
    </row>
    <row r="2" spans="1:25" ht="16.5" thickBot="1" x14ac:dyDescent="0.3">
      <c r="A2" s="457" t="s">
        <v>0</v>
      </c>
      <c r="B2" s="458" t="s">
        <v>1</v>
      </c>
      <c r="C2" s="458"/>
      <c r="D2" s="458"/>
      <c r="E2" s="458"/>
      <c r="F2" s="459" t="s">
        <v>2</v>
      </c>
      <c r="G2" s="459"/>
      <c r="H2" s="459"/>
      <c r="I2" s="459"/>
      <c r="J2" s="460" t="s">
        <v>3</v>
      </c>
      <c r="K2" s="460"/>
      <c r="L2" s="460"/>
      <c r="M2" s="460"/>
      <c r="N2" s="461" t="s">
        <v>4</v>
      </c>
      <c r="O2" s="461"/>
      <c r="P2" s="461"/>
      <c r="Q2" s="461"/>
      <c r="R2" s="462" t="s">
        <v>5</v>
      </c>
      <c r="S2" s="462"/>
      <c r="T2" s="462"/>
      <c r="U2" s="462"/>
      <c r="V2" s="463" t="s">
        <v>40</v>
      </c>
    </row>
    <row r="3" spans="1:25" ht="16.5" thickBot="1" x14ac:dyDescent="0.3">
      <c r="A3" s="457"/>
      <c r="B3" s="103" t="s">
        <v>6</v>
      </c>
      <c r="C3" s="104" t="s">
        <v>7</v>
      </c>
      <c r="D3" s="104" t="s">
        <v>8</v>
      </c>
      <c r="E3" s="105" t="s">
        <v>9</v>
      </c>
      <c r="F3" s="106" t="s">
        <v>6</v>
      </c>
      <c r="G3" s="107" t="s">
        <v>7</v>
      </c>
      <c r="H3" s="107" t="s">
        <v>8</v>
      </c>
      <c r="I3" s="108" t="s">
        <v>9</v>
      </c>
      <c r="J3" s="109" t="s">
        <v>6</v>
      </c>
      <c r="K3" s="110" t="s">
        <v>7</v>
      </c>
      <c r="L3" s="110" t="s">
        <v>8</v>
      </c>
      <c r="M3" s="111" t="s">
        <v>9</v>
      </c>
      <c r="N3" s="112" t="s">
        <v>6</v>
      </c>
      <c r="O3" s="113" t="s">
        <v>7</v>
      </c>
      <c r="P3" s="113" t="s">
        <v>8</v>
      </c>
      <c r="Q3" s="114" t="s">
        <v>9</v>
      </c>
      <c r="R3" s="115" t="s">
        <v>6</v>
      </c>
      <c r="S3" s="116" t="s">
        <v>7</v>
      </c>
      <c r="T3" s="116" t="s">
        <v>8</v>
      </c>
      <c r="U3" s="117" t="s">
        <v>9</v>
      </c>
      <c r="V3" s="464"/>
    </row>
    <row r="4" spans="1:25" ht="15.75" x14ac:dyDescent="0.25">
      <c r="A4" s="118">
        <v>49</v>
      </c>
      <c r="B4" s="119"/>
      <c r="C4" s="120"/>
      <c r="D4" s="120"/>
      <c r="E4" s="121"/>
      <c r="F4" s="122"/>
      <c r="G4" s="123"/>
      <c r="H4" s="123"/>
      <c r="I4" s="124"/>
      <c r="J4" s="125"/>
      <c r="K4" s="126"/>
      <c r="L4" s="126"/>
      <c r="M4" s="127"/>
      <c r="N4" s="128"/>
      <c r="O4" s="129"/>
      <c r="P4" s="129"/>
      <c r="Q4" s="130"/>
      <c r="R4" s="131"/>
      <c r="S4" s="132"/>
      <c r="T4" s="132"/>
      <c r="U4" s="133">
        <v>16</v>
      </c>
      <c r="V4" s="134">
        <f t="shared" ref="V4:V51" si="0">V5*(1+$J$7)</f>
        <v>9073.0239391340583</v>
      </c>
      <c r="Y4">
        <f>V4*1.75</f>
        <v>15877.791893484602</v>
      </c>
    </row>
    <row r="5" spans="1:25" ht="15.75" x14ac:dyDescent="0.25">
      <c r="A5" s="135">
        <v>48</v>
      </c>
      <c r="B5" s="136"/>
      <c r="C5" s="137"/>
      <c r="D5" s="137"/>
      <c r="E5" s="138"/>
      <c r="F5" s="139"/>
      <c r="G5" s="140"/>
      <c r="H5" s="140"/>
      <c r="I5" s="141"/>
      <c r="J5" s="142"/>
      <c r="K5" s="143"/>
      <c r="L5" s="143"/>
      <c r="M5" s="144"/>
      <c r="N5" s="128"/>
      <c r="O5" s="129"/>
      <c r="P5" s="129"/>
      <c r="Q5" s="130"/>
      <c r="R5" s="131"/>
      <c r="S5" s="132"/>
      <c r="T5" s="132">
        <v>16</v>
      </c>
      <c r="U5" s="133">
        <v>15</v>
      </c>
      <c r="V5" s="145">
        <f t="shared" si="0"/>
        <v>8732.4580742387479</v>
      </c>
    </row>
    <row r="6" spans="1:25" ht="15.75" x14ac:dyDescent="0.25">
      <c r="A6" s="135">
        <v>47</v>
      </c>
      <c r="B6" s="136"/>
      <c r="C6" s="137"/>
      <c r="D6" s="137"/>
      <c r="E6" s="138"/>
      <c r="F6" s="452" t="s">
        <v>10</v>
      </c>
      <c r="G6" s="452"/>
      <c r="H6" s="452"/>
      <c r="I6" s="452"/>
      <c r="J6" s="452" t="s">
        <v>11</v>
      </c>
      <c r="K6" s="452"/>
      <c r="L6" s="452"/>
      <c r="M6" s="452"/>
      <c r="N6" s="128"/>
      <c r="O6" s="129"/>
      <c r="P6" s="129"/>
      <c r="Q6" s="130"/>
      <c r="R6" s="131"/>
      <c r="S6" s="132">
        <v>16</v>
      </c>
      <c r="T6" s="132">
        <v>15</v>
      </c>
      <c r="U6" s="133">
        <v>14</v>
      </c>
      <c r="V6" s="145">
        <f t="shared" si="0"/>
        <v>8404.6757211152544</v>
      </c>
    </row>
    <row r="7" spans="1:25" ht="15.75" x14ac:dyDescent="0.25">
      <c r="A7" s="135">
        <v>46</v>
      </c>
      <c r="B7" s="136"/>
      <c r="C7" s="137"/>
      <c r="D7" s="137"/>
      <c r="E7" s="138"/>
      <c r="F7" s="453">
        <f>1326.72*1.09</f>
        <v>1446.1248000000001</v>
      </c>
      <c r="G7" s="453"/>
      <c r="H7" s="453"/>
      <c r="I7" s="453"/>
      <c r="J7" s="454">
        <v>3.9E-2</v>
      </c>
      <c r="K7" s="454"/>
      <c r="L7" s="454"/>
      <c r="M7" s="454"/>
      <c r="N7" s="128"/>
      <c r="O7" s="129"/>
      <c r="P7" s="129"/>
      <c r="Q7" s="130"/>
      <c r="R7" s="131">
        <v>16</v>
      </c>
      <c r="S7" s="132">
        <v>15</v>
      </c>
      <c r="T7" s="132">
        <v>14</v>
      </c>
      <c r="U7" s="133">
        <v>13</v>
      </c>
      <c r="V7" s="145">
        <f t="shared" si="0"/>
        <v>8089.1970366845571</v>
      </c>
    </row>
    <row r="8" spans="1:25" ht="15.75" x14ac:dyDescent="0.25">
      <c r="A8" s="135">
        <v>45</v>
      </c>
      <c r="B8" s="136"/>
      <c r="C8" s="137"/>
      <c r="D8" s="137"/>
      <c r="E8" s="138"/>
      <c r="F8" s="139"/>
      <c r="G8" s="140"/>
      <c r="H8" s="140"/>
      <c r="I8" s="141"/>
      <c r="J8" s="142"/>
      <c r="K8" s="143"/>
      <c r="L8" s="143"/>
      <c r="M8" s="144"/>
      <c r="N8" s="128"/>
      <c r="O8" s="129"/>
      <c r="P8" s="129"/>
      <c r="Q8" s="130"/>
      <c r="R8" s="131">
        <v>15</v>
      </c>
      <c r="S8" s="132">
        <v>14</v>
      </c>
      <c r="T8" s="132">
        <v>13</v>
      </c>
      <c r="U8" s="133">
        <v>12</v>
      </c>
      <c r="V8" s="145">
        <f t="shared" si="0"/>
        <v>7785.5601893017883</v>
      </c>
    </row>
    <row r="9" spans="1:25" ht="15.75" x14ac:dyDescent="0.25">
      <c r="A9" s="135">
        <v>44</v>
      </c>
      <c r="B9" s="136"/>
      <c r="C9" s="137"/>
      <c r="D9" s="137"/>
      <c r="E9" s="138"/>
      <c r="F9" s="139"/>
      <c r="G9" s="140"/>
      <c r="H9" s="140"/>
      <c r="I9" s="141"/>
      <c r="J9" s="142"/>
      <c r="K9" s="143"/>
      <c r="L9" s="143"/>
      <c r="M9" s="144"/>
      <c r="N9" s="128"/>
      <c r="O9" s="129"/>
      <c r="P9" s="129"/>
      <c r="Q9" s="130"/>
      <c r="R9" s="131">
        <v>14</v>
      </c>
      <c r="S9" s="132">
        <v>13</v>
      </c>
      <c r="T9" s="132">
        <v>12</v>
      </c>
      <c r="U9" s="133">
        <v>11</v>
      </c>
      <c r="V9" s="145">
        <f t="shared" si="0"/>
        <v>7493.3206826773712</v>
      </c>
    </row>
    <row r="10" spans="1:25" ht="15.75" x14ac:dyDescent="0.25">
      <c r="A10" s="135">
        <v>43</v>
      </c>
      <c r="B10" s="136"/>
      <c r="C10" s="137"/>
      <c r="D10" s="137"/>
      <c r="E10" s="138"/>
      <c r="F10" s="139"/>
      <c r="G10" s="140"/>
      <c r="H10" s="140"/>
      <c r="I10" s="141"/>
      <c r="J10" s="142"/>
      <c r="K10" s="143"/>
      <c r="L10" s="143"/>
      <c r="M10" s="144"/>
      <c r="N10" s="128"/>
      <c r="O10" s="129"/>
      <c r="P10" s="129"/>
      <c r="Q10" s="130"/>
      <c r="R10" s="131">
        <v>13</v>
      </c>
      <c r="S10" s="132">
        <v>12</v>
      </c>
      <c r="T10" s="132">
        <v>11</v>
      </c>
      <c r="U10" s="133">
        <v>10</v>
      </c>
      <c r="V10" s="145">
        <f t="shared" si="0"/>
        <v>7212.0507051755267</v>
      </c>
    </row>
    <row r="11" spans="1:25" ht="15.75" x14ac:dyDescent="0.25">
      <c r="A11" s="135">
        <v>42</v>
      </c>
      <c r="B11" s="136"/>
      <c r="C11" s="137"/>
      <c r="D11" s="137"/>
      <c r="E11" s="138"/>
      <c r="F11" s="139"/>
      <c r="G11" s="140"/>
      <c r="H11" s="140"/>
      <c r="I11" s="141"/>
      <c r="J11" s="142"/>
      <c r="K11" s="143"/>
      <c r="L11" s="143"/>
      <c r="M11" s="144"/>
      <c r="N11" s="128"/>
      <c r="O11" s="129"/>
      <c r="P11" s="129"/>
      <c r="Q11" s="130"/>
      <c r="R11" s="131">
        <v>12</v>
      </c>
      <c r="S11" s="132">
        <v>11</v>
      </c>
      <c r="T11" s="132">
        <v>10</v>
      </c>
      <c r="U11" s="133">
        <v>9</v>
      </c>
      <c r="V11" s="145">
        <f t="shared" si="0"/>
        <v>6941.3385035375622</v>
      </c>
    </row>
    <row r="12" spans="1:25" ht="15.75" x14ac:dyDescent="0.25">
      <c r="A12" s="135">
        <v>41</v>
      </c>
      <c r="B12" s="136"/>
      <c r="C12" s="137"/>
      <c r="D12" s="137"/>
      <c r="E12" s="138"/>
      <c r="F12" s="139"/>
      <c r="G12" s="140"/>
      <c r="H12" s="140"/>
      <c r="I12" s="141"/>
      <c r="J12" s="142"/>
      <c r="K12" s="143"/>
      <c r="L12" s="143"/>
      <c r="M12" s="144"/>
      <c r="N12" s="128"/>
      <c r="O12" s="129"/>
      <c r="P12" s="129"/>
      <c r="Q12" s="130"/>
      <c r="R12" s="131">
        <v>11</v>
      </c>
      <c r="S12" s="132">
        <v>10</v>
      </c>
      <c r="T12" s="132">
        <v>9</v>
      </c>
      <c r="U12" s="133">
        <v>8</v>
      </c>
      <c r="V12" s="145">
        <f t="shared" si="0"/>
        <v>6680.7877801131499</v>
      </c>
    </row>
    <row r="13" spans="1:25" ht="15.75" x14ac:dyDescent="0.25">
      <c r="A13" s="135">
        <v>40</v>
      </c>
      <c r="B13" s="136"/>
      <c r="C13" s="137"/>
      <c r="D13" s="137"/>
      <c r="E13" s="138"/>
      <c r="F13" s="139"/>
      <c r="G13" s="140"/>
      <c r="H13" s="140"/>
      <c r="I13" s="141"/>
      <c r="J13" s="142"/>
      <c r="K13" s="143"/>
      <c r="L13" s="143"/>
      <c r="M13" s="144"/>
      <c r="N13" s="128"/>
      <c r="O13" s="129"/>
      <c r="P13" s="129"/>
      <c r="Q13" s="130"/>
      <c r="R13" s="131">
        <v>10</v>
      </c>
      <c r="S13" s="132">
        <v>9</v>
      </c>
      <c r="T13" s="132">
        <v>8</v>
      </c>
      <c r="U13" s="133">
        <v>7</v>
      </c>
      <c r="V13" s="145">
        <f t="shared" si="0"/>
        <v>6430.0171127171807</v>
      </c>
    </row>
    <row r="14" spans="1:25" ht="15.75" x14ac:dyDescent="0.25">
      <c r="A14" s="135">
        <v>39</v>
      </c>
      <c r="B14" s="136"/>
      <c r="C14" s="137"/>
      <c r="D14" s="137"/>
      <c r="E14" s="138"/>
      <c r="F14" s="139"/>
      <c r="G14" s="140"/>
      <c r="H14" s="140"/>
      <c r="I14" s="141"/>
      <c r="J14" s="142"/>
      <c r="K14" s="143"/>
      <c r="L14" s="143"/>
      <c r="M14" s="144"/>
      <c r="N14" s="128"/>
      <c r="O14" s="129"/>
      <c r="P14" s="129"/>
      <c r="Q14" s="130"/>
      <c r="R14" s="131">
        <v>9</v>
      </c>
      <c r="S14" s="132">
        <v>8</v>
      </c>
      <c r="T14" s="132">
        <v>7</v>
      </c>
      <c r="U14" s="133">
        <v>6</v>
      </c>
      <c r="V14" s="145">
        <f t="shared" si="0"/>
        <v>6188.6593962629267</v>
      </c>
    </row>
    <row r="15" spans="1:25" ht="15.75" x14ac:dyDescent="0.25">
      <c r="A15" s="135">
        <v>38</v>
      </c>
      <c r="B15" s="136"/>
      <c r="C15" s="137"/>
      <c r="D15" s="137"/>
      <c r="E15" s="138"/>
      <c r="F15" s="139"/>
      <c r="G15" s="140"/>
      <c r="H15" s="140"/>
      <c r="I15" s="141"/>
      <c r="J15" s="142"/>
      <c r="K15" s="143"/>
      <c r="L15" s="143"/>
      <c r="M15" s="144"/>
      <c r="N15" s="128"/>
      <c r="O15" s="129"/>
      <c r="P15" s="129"/>
      <c r="Q15" s="130"/>
      <c r="R15" s="131">
        <v>8</v>
      </c>
      <c r="S15" s="132">
        <v>7</v>
      </c>
      <c r="T15" s="132">
        <v>6</v>
      </c>
      <c r="U15" s="133">
        <v>5</v>
      </c>
      <c r="V15" s="145">
        <f t="shared" si="0"/>
        <v>5956.3613053541167</v>
      </c>
    </row>
    <row r="16" spans="1:25" ht="15.75" x14ac:dyDescent="0.25">
      <c r="A16" s="135">
        <v>37</v>
      </c>
      <c r="B16" s="136"/>
      <c r="C16" s="137"/>
      <c r="D16" s="137"/>
      <c r="E16" s="138"/>
      <c r="F16" s="139"/>
      <c r="G16" s="140"/>
      <c r="H16" s="140"/>
      <c r="I16" s="141"/>
      <c r="J16" s="142"/>
      <c r="K16" s="143"/>
      <c r="L16" s="143"/>
      <c r="M16" s="144"/>
      <c r="N16" s="128"/>
      <c r="O16" s="129"/>
      <c r="P16" s="129"/>
      <c r="Q16" s="130"/>
      <c r="R16" s="131">
        <v>7</v>
      </c>
      <c r="S16" s="132">
        <v>6</v>
      </c>
      <c r="T16" s="132">
        <v>5</v>
      </c>
      <c r="U16" s="133">
        <v>4</v>
      </c>
      <c r="V16" s="145">
        <f t="shared" si="0"/>
        <v>5732.7827770491986</v>
      </c>
    </row>
    <row r="17" spans="1:22" ht="15.75" x14ac:dyDescent="0.25">
      <c r="A17" s="135">
        <v>36</v>
      </c>
      <c r="B17" s="136"/>
      <c r="C17" s="137"/>
      <c r="D17" s="137"/>
      <c r="E17" s="138"/>
      <c r="F17" s="139"/>
      <c r="G17" s="140"/>
      <c r="H17" s="140"/>
      <c r="I17" s="141"/>
      <c r="J17" s="142"/>
      <c r="K17" s="143"/>
      <c r="L17" s="143"/>
      <c r="M17" s="144"/>
      <c r="N17" s="128"/>
      <c r="O17" s="129"/>
      <c r="P17" s="129"/>
      <c r="Q17" s="130"/>
      <c r="R17" s="131">
        <v>6</v>
      </c>
      <c r="S17" s="132">
        <v>5</v>
      </c>
      <c r="T17" s="132">
        <v>4</v>
      </c>
      <c r="U17" s="133">
        <v>3</v>
      </c>
      <c r="V17" s="145">
        <f t="shared" si="0"/>
        <v>5517.5965130406148</v>
      </c>
    </row>
    <row r="18" spans="1:22" ht="15.75" x14ac:dyDescent="0.25">
      <c r="A18" s="135">
        <v>35</v>
      </c>
      <c r="B18" s="136"/>
      <c r="C18" s="137"/>
      <c r="D18" s="137"/>
      <c r="E18" s="138"/>
      <c r="F18" s="139"/>
      <c r="G18" s="140"/>
      <c r="H18" s="140"/>
      <c r="I18" s="141"/>
      <c r="J18" s="142"/>
      <c r="K18" s="143"/>
      <c r="L18" s="143"/>
      <c r="M18" s="144"/>
      <c r="N18" s="128"/>
      <c r="O18" s="129"/>
      <c r="P18" s="129"/>
      <c r="Q18" s="130">
        <v>16</v>
      </c>
      <c r="R18" s="131">
        <v>5</v>
      </c>
      <c r="S18" s="132">
        <v>4</v>
      </c>
      <c r="T18" s="132">
        <v>3</v>
      </c>
      <c r="U18" s="133">
        <v>2</v>
      </c>
      <c r="V18" s="145">
        <f t="shared" si="0"/>
        <v>5310.487500520323</v>
      </c>
    </row>
    <row r="19" spans="1:22" ht="15.75" x14ac:dyDescent="0.25">
      <c r="A19" s="135">
        <v>34</v>
      </c>
      <c r="B19" s="136"/>
      <c r="C19" s="137"/>
      <c r="D19" s="137"/>
      <c r="E19" s="138"/>
      <c r="F19" s="139"/>
      <c r="G19" s="140"/>
      <c r="H19" s="140"/>
      <c r="I19" s="141"/>
      <c r="J19" s="142"/>
      <c r="K19" s="143"/>
      <c r="L19" s="143"/>
      <c r="M19" s="144"/>
      <c r="N19" s="128"/>
      <c r="O19" s="129"/>
      <c r="P19" s="129">
        <v>16</v>
      </c>
      <c r="Q19" s="130">
        <v>15</v>
      </c>
      <c r="R19" s="131">
        <v>4</v>
      </c>
      <c r="S19" s="132">
        <v>3</v>
      </c>
      <c r="T19" s="132">
        <v>2</v>
      </c>
      <c r="U19" s="133">
        <v>1</v>
      </c>
      <c r="V19" s="145">
        <f t="shared" si="0"/>
        <v>5111.1525510301481</v>
      </c>
    </row>
    <row r="20" spans="1:22" ht="15.75" x14ac:dyDescent="0.25">
      <c r="A20" s="135">
        <v>33</v>
      </c>
      <c r="B20" s="136"/>
      <c r="C20" s="137"/>
      <c r="D20" s="137"/>
      <c r="E20" s="138"/>
      <c r="F20" s="139"/>
      <c r="G20" s="140"/>
      <c r="H20" s="140"/>
      <c r="I20" s="141"/>
      <c r="J20" s="142"/>
      <c r="K20" s="143"/>
      <c r="L20" s="143"/>
      <c r="M20" s="144"/>
      <c r="N20" s="128"/>
      <c r="O20" s="129">
        <v>16</v>
      </c>
      <c r="P20" s="129">
        <v>15</v>
      </c>
      <c r="Q20" s="130">
        <v>14</v>
      </c>
      <c r="R20" s="131">
        <v>3</v>
      </c>
      <c r="S20" s="132">
        <v>2</v>
      </c>
      <c r="T20" s="132">
        <v>1</v>
      </c>
      <c r="U20" s="133"/>
      <c r="V20" s="145">
        <f t="shared" si="0"/>
        <v>4919.2998566218948</v>
      </c>
    </row>
    <row r="21" spans="1:22" ht="15.75" x14ac:dyDescent="0.25">
      <c r="A21" s="135">
        <v>32</v>
      </c>
      <c r="B21" s="136"/>
      <c r="C21" s="137"/>
      <c r="D21" s="137"/>
      <c r="E21" s="138"/>
      <c r="F21" s="139"/>
      <c r="G21" s="140"/>
      <c r="H21" s="140"/>
      <c r="I21" s="141"/>
      <c r="J21" s="142"/>
      <c r="K21" s="143"/>
      <c r="L21" s="143"/>
      <c r="M21" s="144"/>
      <c r="N21" s="128">
        <v>16</v>
      </c>
      <c r="O21" s="129">
        <v>15</v>
      </c>
      <c r="P21" s="129">
        <v>14</v>
      </c>
      <c r="Q21" s="130">
        <v>13</v>
      </c>
      <c r="R21" s="131">
        <v>2</v>
      </c>
      <c r="S21" s="132">
        <v>1</v>
      </c>
      <c r="T21" s="132"/>
      <c r="U21" s="133"/>
      <c r="V21" s="145">
        <f t="shared" si="0"/>
        <v>4734.6485626774738</v>
      </c>
    </row>
    <row r="22" spans="1:22" ht="15.75" x14ac:dyDescent="0.25">
      <c r="A22" s="135">
        <v>31</v>
      </c>
      <c r="B22" s="136"/>
      <c r="C22" s="137"/>
      <c r="D22" s="137"/>
      <c r="E22" s="138"/>
      <c r="F22" s="139"/>
      <c r="G22" s="140"/>
      <c r="H22" s="140"/>
      <c r="I22" s="141"/>
      <c r="J22" s="142"/>
      <c r="K22" s="143"/>
      <c r="L22" s="143"/>
      <c r="M22" s="144"/>
      <c r="N22" s="128">
        <v>15</v>
      </c>
      <c r="O22" s="129">
        <v>14</v>
      </c>
      <c r="P22" s="129">
        <v>13</v>
      </c>
      <c r="Q22" s="130">
        <v>12</v>
      </c>
      <c r="R22" s="146">
        <v>1</v>
      </c>
      <c r="S22" s="147"/>
      <c r="T22" s="147"/>
      <c r="U22" s="148"/>
      <c r="V22" s="145">
        <f t="shared" si="0"/>
        <v>4556.9283567636903</v>
      </c>
    </row>
    <row r="23" spans="1:22" ht="15.75" x14ac:dyDescent="0.25">
      <c r="A23" s="135">
        <v>30</v>
      </c>
      <c r="B23" s="136"/>
      <c r="C23" s="137"/>
      <c r="D23" s="137"/>
      <c r="E23" s="138"/>
      <c r="F23" s="139"/>
      <c r="G23" s="140"/>
      <c r="H23" s="140"/>
      <c r="I23" s="141"/>
      <c r="J23" s="142"/>
      <c r="K23" s="143"/>
      <c r="L23" s="143"/>
      <c r="M23" s="144"/>
      <c r="N23" s="128">
        <v>14</v>
      </c>
      <c r="O23" s="129">
        <v>13</v>
      </c>
      <c r="P23" s="129">
        <v>12</v>
      </c>
      <c r="Q23" s="130">
        <v>11</v>
      </c>
      <c r="R23" s="146"/>
      <c r="S23" s="147"/>
      <c r="T23" s="147"/>
      <c r="U23" s="148"/>
      <c r="V23" s="145">
        <f t="shared" si="0"/>
        <v>4385.8790729198181</v>
      </c>
    </row>
    <row r="24" spans="1:22" ht="15.75" x14ac:dyDescent="0.25">
      <c r="A24" s="135">
        <v>29</v>
      </c>
      <c r="B24" s="136"/>
      <c r="C24" s="137"/>
      <c r="D24" s="137"/>
      <c r="E24" s="138"/>
      <c r="F24" s="139"/>
      <c r="G24" s="140"/>
      <c r="H24" s="140"/>
      <c r="I24" s="141"/>
      <c r="J24" s="142"/>
      <c r="K24" s="143"/>
      <c r="L24" s="143"/>
      <c r="M24" s="144">
        <v>16</v>
      </c>
      <c r="N24" s="128">
        <v>13</v>
      </c>
      <c r="O24" s="129">
        <v>12</v>
      </c>
      <c r="P24" s="129">
        <v>11</v>
      </c>
      <c r="Q24" s="130">
        <v>10</v>
      </c>
      <c r="R24" s="146"/>
      <c r="S24" s="147"/>
      <c r="T24" s="147"/>
      <c r="U24" s="148"/>
      <c r="V24" s="145">
        <f t="shared" si="0"/>
        <v>4221.2503107986704</v>
      </c>
    </row>
    <row r="25" spans="1:22" ht="15.75" x14ac:dyDescent="0.25">
      <c r="A25" s="135">
        <v>28</v>
      </c>
      <c r="B25" s="136"/>
      <c r="C25" s="137"/>
      <c r="D25" s="137"/>
      <c r="E25" s="138"/>
      <c r="F25" s="139"/>
      <c r="G25" s="140"/>
      <c r="H25" s="140"/>
      <c r="I25" s="141"/>
      <c r="J25" s="142"/>
      <c r="K25" s="143"/>
      <c r="L25" s="143">
        <v>16</v>
      </c>
      <c r="M25" s="144">
        <v>15</v>
      </c>
      <c r="N25" s="128">
        <v>12</v>
      </c>
      <c r="O25" s="129">
        <v>11</v>
      </c>
      <c r="P25" s="129">
        <v>10</v>
      </c>
      <c r="Q25" s="130">
        <v>9</v>
      </c>
      <c r="R25" s="146"/>
      <c r="S25" s="147"/>
      <c r="T25" s="147"/>
      <c r="U25" s="148"/>
      <c r="V25" s="145">
        <f t="shared" si="0"/>
        <v>4062.8010691036293</v>
      </c>
    </row>
    <row r="26" spans="1:22" ht="15.75" x14ac:dyDescent="0.25">
      <c r="A26" s="135">
        <v>27</v>
      </c>
      <c r="B26" s="136"/>
      <c r="C26" s="137"/>
      <c r="D26" s="137"/>
      <c r="E26" s="138"/>
      <c r="F26" s="139"/>
      <c r="G26" s="140"/>
      <c r="H26" s="140"/>
      <c r="I26" s="141"/>
      <c r="J26" s="142"/>
      <c r="K26" s="143">
        <v>16</v>
      </c>
      <c r="L26" s="143">
        <v>15</v>
      </c>
      <c r="M26" s="144">
        <v>14</v>
      </c>
      <c r="N26" s="128">
        <v>11</v>
      </c>
      <c r="O26" s="129">
        <v>10</v>
      </c>
      <c r="P26" s="129">
        <v>9</v>
      </c>
      <c r="Q26" s="130">
        <v>8</v>
      </c>
      <c r="R26" s="146"/>
      <c r="S26" s="147"/>
      <c r="T26" s="147"/>
      <c r="U26" s="148"/>
      <c r="V26" s="145">
        <f t="shared" si="0"/>
        <v>3910.2993927850139</v>
      </c>
    </row>
    <row r="27" spans="1:22" ht="15.75" x14ac:dyDescent="0.25">
      <c r="A27" s="135">
        <v>26</v>
      </c>
      <c r="B27" s="136"/>
      <c r="C27" s="137"/>
      <c r="D27" s="137"/>
      <c r="E27" s="138"/>
      <c r="F27" s="139"/>
      <c r="G27" s="140"/>
      <c r="H27" s="140"/>
      <c r="I27" s="141"/>
      <c r="J27" s="142">
        <v>16</v>
      </c>
      <c r="K27" s="143">
        <v>15</v>
      </c>
      <c r="L27" s="143">
        <v>14</v>
      </c>
      <c r="M27" s="144">
        <v>13</v>
      </c>
      <c r="N27" s="128">
        <v>10</v>
      </c>
      <c r="O27" s="129">
        <v>9</v>
      </c>
      <c r="P27" s="129">
        <v>8</v>
      </c>
      <c r="Q27" s="130">
        <v>7</v>
      </c>
      <c r="R27" s="146"/>
      <c r="S27" s="147"/>
      <c r="T27" s="147"/>
      <c r="U27" s="148"/>
      <c r="V27" s="145">
        <f t="shared" si="0"/>
        <v>3763.5220334793207</v>
      </c>
    </row>
    <row r="28" spans="1:22" ht="15.75" x14ac:dyDescent="0.25">
      <c r="A28" s="135">
        <v>25</v>
      </c>
      <c r="B28" s="136"/>
      <c r="C28" s="137"/>
      <c r="D28" s="137"/>
      <c r="E28" s="138"/>
      <c r="F28" s="139"/>
      <c r="G28" s="140"/>
      <c r="H28" s="140"/>
      <c r="I28" s="141"/>
      <c r="J28" s="142">
        <v>15</v>
      </c>
      <c r="K28" s="143">
        <v>14</v>
      </c>
      <c r="L28" s="143">
        <v>13</v>
      </c>
      <c r="M28" s="144">
        <v>12</v>
      </c>
      <c r="N28" s="128">
        <v>9</v>
      </c>
      <c r="O28" s="129">
        <v>8</v>
      </c>
      <c r="P28" s="129">
        <v>7</v>
      </c>
      <c r="Q28" s="130">
        <v>6</v>
      </c>
      <c r="R28" s="146"/>
      <c r="S28" s="147"/>
      <c r="T28" s="147"/>
      <c r="U28" s="148"/>
      <c r="V28" s="145">
        <f t="shared" si="0"/>
        <v>3622.2541226942453</v>
      </c>
    </row>
    <row r="29" spans="1:22" ht="15.75" x14ac:dyDescent="0.25">
      <c r="A29" s="135">
        <v>24</v>
      </c>
      <c r="B29" s="136"/>
      <c r="C29" s="137"/>
      <c r="D29" s="137"/>
      <c r="E29" s="138"/>
      <c r="F29" s="139"/>
      <c r="G29" s="140"/>
      <c r="H29" s="140"/>
      <c r="I29" s="141">
        <v>16</v>
      </c>
      <c r="J29" s="142">
        <v>14</v>
      </c>
      <c r="K29" s="143">
        <v>13</v>
      </c>
      <c r="L29" s="143">
        <v>12</v>
      </c>
      <c r="M29" s="144">
        <v>11</v>
      </c>
      <c r="N29" s="128">
        <v>8</v>
      </c>
      <c r="O29" s="129">
        <v>7</v>
      </c>
      <c r="P29" s="129">
        <v>6</v>
      </c>
      <c r="Q29" s="130">
        <v>5</v>
      </c>
      <c r="R29" s="146"/>
      <c r="S29" s="147"/>
      <c r="T29" s="147"/>
      <c r="U29" s="148"/>
      <c r="V29" s="145">
        <f t="shared" si="0"/>
        <v>3486.2888572610641</v>
      </c>
    </row>
    <row r="30" spans="1:22" ht="15.75" x14ac:dyDescent="0.25">
      <c r="A30" s="135">
        <v>23</v>
      </c>
      <c r="B30" s="136"/>
      <c r="C30" s="137"/>
      <c r="D30" s="137"/>
      <c r="E30" s="138"/>
      <c r="F30" s="139"/>
      <c r="G30" s="140"/>
      <c r="H30" s="140">
        <v>16</v>
      </c>
      <c r="I30" s="141">
        <v>15</v>
      </c>
      <c r="J30" s="142">
        <v>13</v>
      </c>
      <c r="K30" s="143">
        <v>12</v>
      </c>
      <c r="L30" s="143">
        <v>11</v>
      </c>
      <c r="M30" s="144">
        <v>10</v>
      </c>
      <c r="N30" s="128">
        <v>7</v>
      </c>
      <c r="O30" s="129">
        <v>6</v>
      </c>
      <c r="P30" s="129">
        <v>5</v>
      </c>
      <c r="Q30" s="130">
        <v>4</v>
      </c>
      <c r="R30" s="146"/>
      <c r="S30" s="147"/>
      <c r="T30" s="147"/>
      <c r="U30" s="148"/>
      <c r="V30" s="145">
        <f t="shared" si="0"/>
        <v>3355.427196593902</v>
      </c>
    </row>
    <row r="31" spans="1:22" ht="15.75" x14ac:dyDescent="0.25">
      <c r="A31" s="135">
        <v>22</v>
      </c>
      <c r="B31" s="136"/>
      <c r="C31" s="137"/>
      <c r="D31" s="137"/>
      <c r="E31" s="138"/>
      <c r="F31" s="139"/>
      <c r="G31" s="140">
        <v>16</v>
      </c>
      <c r="H31" s="140">
        <v>15</v>
      </c>
      <c r="I31" s="141">
        <v>14</v>
      </c>
      <c r="J31" s="142">
        <v>12</v>
      </c>
      <c r="K31" s="143">
        <v>11</v>
      </c>
      <c r="L31" s="143">
        <v>10</v>
      </c>
      <c r="M31" s="144">
        <v>9</v>
      </c>
      <c r="N31" s="128">
        <v>6</v>
      </c>
      <c r="O31" s="129">
        <v>5</v>
      </c>
      <c r="P31" s="129">
        <v>4</v>
      </c>
      <c r="Q31" s="130">
        <v>3</v>
      </c>
      <c r="R31" s="131"/>
      <c r="S31" s="132"/>
      <c r="T31" s="132"/>
      <c r="U31" s="133"/>
      <c r="V31" s="145">
        <f t="shared" si="0"/>
        <v>3229.4775713127065</v>
      </c>
    </row>
    <row r="32" spans="1:22" ht="15.75" x14ac:dyDescent="0.25">
      <c r="A32" s="135">
        <v>21</v>
      </c>
      <c r="B32" s="136"/>
      <c r="C32" s="137"/>
      <c r="D32" s="137"/>
      <c r="E32" s="138"/>
      <c r="F32" s="139">
        <v>16</v>
      </c>
      <c r="G32" s="140">
        <v>15</v>
      </c>
      <c r="H32" s="140">
        <v>14</v>
      </c>
      <c r="I32" s="141">
        <v>13</v>
      </c>
      <c r="J32" s="142">
        <v>11</v>
      </c>
      <c r="K32" s="143">
        <v>10</v>
      </c>
      <c r="L32" s="143">
        <v>9</v>
      </c>
      <c r="M32" s="144">
        <v>8</v>
      </c>
      <c r="N32" s="128">
        <v>5</v>
      </c>
      <c r="O32" s="129">
        <v>4</v>
      </c>
      <c r="P32" s="129">
        <v>3</v>
      </c>
      <c r="Q32" s="130">
        <v>2</v>
      </c>
      <c r="R32" s="131"/>
      <c r="S32" s="132"/>
      <c r="T32" s="132"/>
      <c r="U32" s="133"/>
      <c r="V32" s="145">
        <f t="shared" si="0"/>
        <v>3108.255602803375</v>
      </c>
    </row>
    <row r="33" spans="1:22" ht="15.75" x14ac:dyDescent="0.25">
      <c r="A33" s="135">
        <v>20</v>
      </c>
      <c r="B33" s="136"/>
      <c r="C33" s="137"/>
      <c r="D33" s="137"/>
      <c r="E33" s="138"/>
      <c r="F33" s="139">
        <v>15</v>
      </c>
      <c r="G33" s="140">
        <v>14</v>
      </c>
      <c r="H33" s="140">
        <v>13</v>
      </c>
      <c r="I33" s="141">
        <v>12</v>
      </c>
      <c r="J33" s="142">
        <v>10</v>
      </c>
      <c r="K33" s="143">
        <v>9</v>
      </c>
      <c r="L33" s="143">
        <v>8</v>
      </c>
      <c r="M33" s="144">
        <v>7</v>
      </c>
      <c r="N33" s="128">
        <v>4</v>
      </c>
      <c r="O33" s="129">
        <v>3</v>
      </c>
      <c r="P33" s="129">
        <v>2</v>
      </c>
      <c r="Q33" s="130">
        <v>1</v>
      </c>
      <c r="R33" s="131"/>
      <c r="S33" s="132"/>
      <c r="T33" s="132"/>
      <c r="U33" s="133"/>
      <c r="V33" s="145">
        <f t="shared" si="0"/>
        <v>2991.5838333044999</v>
      </c>
    </row>
    <row r="34" spans="1:22" ht="15.75" x14ac:dyDescent="0.25">
      <c r="A34" s="135">
        <v>19</v>
      </c>
      <c r="B34" s="136"/>
      <c r="C34" s="137"/>
      <c r="D34" s="137"/>
      <c r="E34" s="138">
        <v>16</v>
      </c>
      <c r="F34" s="139">
        <v>14</v>
      </c>
      <c r="G34" s="140">
        <v>13</v>
      </c>
      <c r="H34" s="140">
        <v>12</v>
      </c>
      <c r="I34" s="141">
        <v>11</v>
      </c>
      <c r="J34" s="142">
        <v>9</v>
      </c>
      <c r="K34" s="143">
        <v>8</v>
      </c>
      <c r="L34" s="143">
        <v>7</v>
      </c>
      <c r="M34" s="144">
        <v>6</v>
      </c>
      <c r="N34" s="128">
        <v>3</v>
      </c>
      <c r="O34" s="129">
        <v>2</v>
      </c>
      <c r="P34" s="129">
        <v>1</v>
      </c>
      <c r="Q34" s="130"/>
      <c r="R34" s="131"/>
      <c r="S34" s="132"/>
      <c r="T34" s="132"/>
      <c r="U34" s="133"/>
      <c r="V34" s="145">
        <f t="shared" si="0"/>
        <v>2879.2914661256018</v>
      </c>
    </row>
    <row r="35" spans="1:22" ht="15.75" x14ac:dyDescent="0.25">
      <c r="A35" s="135">
        <v>18</v>
      </c>
      <c r="B35" s="136"/>
      <c r="C35" s="137"/>
      <c r="D35" s="137">
        <v>16</v>
      </c>
      <c r="E35" s="138">
        <v>15</v>
      </c>
      <c r="F35" s="139">
        <v>13</v>
      </c>
      <c r="G35" s="140">
        <v>12</v>
      </c>
      <c r="H35" s="140">
        <v>11</v>
      </c>
      <c r="I35" s="141">
        <v>10</v>
      </c>
      <c r="J35" s="142">
        <v>8</v>
      </c>
      <c r="K35" s="143">
        <v>7</v>
      </c>
      <c r="L35" s="143">
        <v>6</v>
      </c>
      <c r="M35" s="144">
        <v>5</v>
      </c>
      <c r="N35" s="128">
        <v>2</v>
      </c>
      <c r="O35" s="129">
        <v>1</v>
      </c>
      <c r="P35" s="129"/>
      <c r="Q35" s="130"/>
      <c r="R35" s="131"/>
      <c r="S35" s="132"/>
      <c r="T35" s="132"/>
      <c r="U35" s="133"/>
      <c r="V35" s="145">
        <f t="shared" si="0"/>
        <v>2771.2141156165562</v>
      </c>
    </row>
    <row r="36" spans="1:22" ht="15.75" x14ac:dyDescent="0.25">
      <c r="A36" s="135">
        <v>17</v>
      </c>
      <c r="B36" s="136"/>
      <c r="C36" s="137">
        <v>16</v>
      </c>
      <c r="D36" s="137">
        <v>15</v>
      </c>
      <c r="E36" s="138">
        <v>14</v>
      </c>
      <c r="F36" s="139">
        <v>12</v>
      </c>
      <c r="G36" s="140">
        <v>11</v>
      </c>
      <c r="H36" s="140">
        <v>10</v>
      </c>
      <c r="I36" s="141">
        <v>9</v>
      </c>
      <c r="J36" s="142">
        <v>7</v>
      </c>
      <c r="K36" s="143">
        <v>6</v>
      </c>
      <c r="L36" s="143">
        <v>5</v>
      </c>
      <c r="M36" s="144">
        <v>4</v>
      </c>
      <c r="N36" s="149">
        <v>1</v>
      </c>
      <c r="O36" s="150"/>
      <c r="P36" s="150"/>
      <c r="Q36" s="151"/>
      <c r="R36" s="131"/>
      <c r="S36" s="132"/>
      <c r="T36" s="132"/>
      <c r="U36" s="133"/>
      <c r="V36" s="145">
        <f t="shared" si="0"/>
        <v>2667.1935665221908</v>
      </c>
    </row>
    <row r="37" spans="1:22" ht="15.75" x14ac:dyDescent="0.25">
      <c r="A37" s="135">
        <v>16</v>
      </c>
      <c r="B37" s="136">
        <v>16</v>
      </c>
      <c r="C37" s="137">
        <v>15</v>
      </c>
      <c r="D37" s="137">
        <v>14</v>
      </c>
      <c r="E37" s="138">
        <v>13</v>
      </c>
      <c r="F37" s="139">
        <v>11</v>
      </c>
      <c r="G37" s="140">
        <v>10</v>
      </c>
      <c r="H37" s="140">
        <v>9</v>
      </c>
      <c r="I37" s="141">
        <v>8</v>
      </c>
      <c r="J37" s="142">
        <v>6</v>
      </c>
      <c r="K37" s="143">
        <v>5</v>
      </c>
      <c r="L37" s="143">
        <v>4</v>
      </c>
      <c r="M37" s="144">
        <v>3</v>
      </c>
      <c r="N37" s="128"/>
      <c r="O37" s="129"/>
      <c r="P37" s="129"/>
      <c r="Q37" s="130"/>
      <c r="R37" s="131"/>
      <c r="S37" s="132"/>
      <c r="T37" s="132"/>
      <c r="U37" s="133"/>
      <c r="V37" s="145">
        <f t="shared" si="0"/>
        <v>2567.0775423697701</v>
      </c>
    </row>
    <row r="38" spans="1:22" ht="15.75" x14ac:dyDescent="0.25">
      <c r="A38" s="135">
        <v>15</v>
      </c>
      <c r="B38" s="136">
        <v>15</v>
      </c>
      <c r="C38" s="137">
        <v>14</v>
      </c>
      <c r="D38" s="137">
        <v>13</v>
      </c>
      <c r="E38" s="138">
        <v>12</v>
      </c>
      <c r="F38" s="139">
        <v>10</v>
      </c>
      <c r="G38" s="140">
        <v>9</v>
      </c>
      <c r="H38" s="140">
        <v>8</v>
      </c>
      <c r="I38" s="141">
        <v>7</v>
      </c>
      <c r="J38" s="142">
        <v>5</v>
      </c>
      <c r="K38" s="143">
        <v>4</v>
      </c>
      <c r="L38" s="143">
        <v>3</v>
      </c>
      <c r="M38" s="144">
        <v>2</v>
      </c>
      <c r="N38" s="128"/>
      <c r="O38" s="129"/>
      <c r="P38" s="129"/>
      <c r="Q38" s="130"/>
      <c r="R38" s="131"/>
      <c r="S38" s="132"/>
      <c r="T38" s="132"/>
      <c r="U38" s="133"/>
      <c r="V38" s="145">
        <f t="shared" si="0"/>
        <v>2470.7194825503084</v>
      </c>
    </row>
    <row r="39" spans="1:22" ht="15.75" x14ac:dyDescent="0.25">
      <c r="A39" s="135">
        <v>14</v>
      </c>
      <c r="B39" s="136">
        <v>14</v>
      </c>
      <c r="C39" s="137">
        <v>13</v>
      </c>
      <c r="D39" s="137">
        <v>12</v>
      </c>
      <c r="E39" s="138">
        <v>11</v>
      </c>
      <c r="F39" s="139">
        <v>9</v>
      </c>
      <c r="G39" s="140">
        <v>8</v>
      </c>
      <c r="H39" s="140">
        <v>7</v>
      </c>
      <c r="I39" s="141">
        <v>6</v>
      </c>
      <c r="J39" s="142">
        <v>4</v>
      </c>
      <c r="K39" s="143">
        <v>3</v>
      </c>
      <c r="L39" s="143">
        <v>2</v>
      </c>
      <c r="M39" s="144">
        <v>1</v>
      </c>
      <c r="N39" s="128"/>
      <c r="O39" s="129"/>
      <c r="P39" s="129"/>
      <c r="Q39" s="130"/>
      <c r="R39" s="131"/>
      <c r="S39" s="132"/>
      <c r="T39" s="132"/>
      <c r="U39" s="133"/>
      <c r="V39" s="145">
        <f t="shared" si="0"/>
        <v>2377.9783277673805</v>
      </c>
    </row>
    <row r="40" spans="1:22" ht="15.75" x14ac:dyDescent="0.25">
      <c r="A40" s="135">
        <v>13</v>
      </c>
      <c r="B40" s="136">
        <v>13</v>
      </c>
      <c r="C40" s="137">
        <v>12</v>
      </c>
      <c r="D40" s="137">
        <v>11</v>
      </c>
      <c r="E40" s="138">
        <v>10</v>
      </c>
      <c r="F40" s="139">
        <v>8</v>
      </c>
      <c r="G40" s="140">
        <v>7</v>
      </c>
      <c r="H40" s="140">
        <v>6</v>
      </c>
      <c r="I40" s="141">
        <v>5</v>
      </c>
      <c r="J40" s="142">
        <v>3</v>
      </c>
      <c r="K40" s="143">
        <v>2</v>
      </c>
      <c r="L40" s="143">
        <v>1</v>
      </c>
      <c r="M40" s="144"/>
      <c r="N40" s="128"/>
      <c r="O40" s="129"/>
      <c r="P40" s="129"/>
      <c r="Q40" s="130"/>
      <c r="R40" s="131"/>
      <c r="S40" s="132"/>
      <c r="T40" s="132"/>
      <c r="U40" s="133"/>
      <c r="V40" s="145">
        <f t="shared" si="0"/>
        <v>2288.7183135393461</v>
      </c>
    </row>
    <row r="41" spans="1:22" ht="15.75" x14ac:dyDescent="0.25">
      <c r="A41" s="135">
        <v>12</v>
      </c>
      <c r="B41" s="136">
        <v>12</v>
      </c>
      <c r="C41" s="137">
        <v>11</v>
      </c>
      <c r="D41" s="137">
        <v>10</v>
      </c>
      <c r="E41" s="138">
        <v>9</v>
      </c>
      <c r="F41" s="139">
        <v>7</v>
      </c>
      <c r="G41" s="140">
        <v>6</v>
      </c>
      <c r="H41" s="140">
        <v>5</v>
      </c>
      <c r="I41" s="141">
        <v>4</v>
      </c>
      <c r="J41" s="142">
        <v>2</v>
      </c>
      <c r="K41" s="143">
        <v>1</v>
      </c>
      <c r="L41" s="143"/>
      <c r="M41" s="144"/>
      <c r="N41" s="128"/>
      <c r="O41" s="129"/>
      <c r="P41" s="129"/>
      <c r="Q41" s="130"/>
      <c r="R41" s="131"/>
      <c r="S41" s="132"/>
      <c r="T41" s="132"/>
      <c r="U41" s="133"/>
      <c r="V41" s="145">
        <f t="shared" si="0"/>
        <v>2202.8087714526914</v>
      </c>
    </row>
    <row r="42" spans="1:22" ht="15.75" x14ac:dyDescent="0.25">
      <c r="A42" s="135">
        <v>11</v>
      </c>
      <c r="B42" s="136">
        <v>11</v>
      </c>
      <c r="C42" s="137">
        <v>10</v>
      </c>
      <c r="D42" s="137">
        <v>9</v>
      </c>
      <c r="E42" s="138">
        <v>8</v>
      </c>
      <c r="F42" s="139">
        <v>6</v>
      </c>
      <c r="G42" s="140">
        <v>5</v>
      </c>
      <c r="H42" s="140">
        <v>4</v>
      </c>
      <c r="I42" s="141">
        <v>3</v>
      </c>
      <c r="J42" s="142">
        <v>1</v>
      </c>
      <c r="K42" s="143"/>
      <c r="L42" s="143"/>
      <c r="M42" s="144"/>
      <c r="N42" s="128"/>
      <c r="O42" s="129"/>
      <c r="P42" s="129"/>
      <c r="Q42" s="130"/>
      <c r="R42" s="131"/>
      <c r="S42" s="132"/>
      <c r="T42" s="132"/>
      <c r="U42" s="133"/>
      <c r="V42" s="145">
        <f t="shared" si="0"/>
        <v>2120.1239378755454</v>
      </c>
    </row>
    <row r="43" spans="1:22" ht="15.75" x14ac:dyDescent="0.25">
      <c r="A43" s="135">
        <v>10</v>
      </c>
      <c r="B43" s="136">
        <v>10</v>
      </c>
      <c r="C43" s="137">
        <v>9</v>
      </c>
      <c r="D43" s="137">
        <v>8</v>
      </c>
      <c r="E43" s="138">
        <v>7</v>
      </c>
      <c r="F43" s="139">
        <v>5</v>
      </c>
      <c r="G43" s="140">
        <v>4</v>
      </c>
      <c r="H43" s="140">
        <v>3</v>
      </c>
      <c r="I43" s="141">
        <v>2</v>
      </c>
      <c r="J43" s="142"/>
      <c r="K43" s="143"/>
      <c r="L43" s="143"/>
      <c r="M43" s="144"/>
      <c r="N43" s="128"/>
      <c r="O43" s="129"/>
      <c r="P43" s="129"/>
      <c r="Q43" s="130"/>
      <c r="R43" s="131"/>
      <c r="S43" s="132"/>
      <c r="T43" s="132"/>
      <c r="U43" s="133"/>
      <c r="V43" s="145">
        <f t="shared" si="0"/>
        <v>2040.5427698513433</v>
      </c>
    </row>
    <row r="44" spans="1:22" ht="15.75" x14ac:dyDescent="0.25">
      <c r="A44" s="135">
        <v>9</v>
      </c>
      <c r="B44" s="136">
        <v>9</v>
      </c>
      <c r="C44" s="137">
        <v>8</v>
      </c>
      <c r="D44" s="137">
        <v>7</v>
      </c>
      <c r="E44" s="138">
        <v>6</v>
      </c>
      <c r="F44" s="139">
        <v>4</v>
      </c>
      <c r="G44" s="140">
        <v>3</v>
      </c>
      <c r="H44" s="140">
        <v>2</v>
      </c>
      <c r="I44" s="141">
        <v>1</v>
      </c>
      <c r="J44" s="142"/>
      <c r="K44" s="143"/>
      <c r="L44" s="143"/>
      <c r="M44" s="144"/>
      <c r="N44" s="128"/>
      <c r="O44" s="129"/>
      <c r="P44" s="129"/>
      <c r="Q44" s="130"/>
      <c r="R44" s="131"/>
      <c r="S44" s="132"/>
      <c r="T44" s="132"/>
      <c r="U44" s="133"/>
      <c r="V44" s="145">
        <f t="shared" si="0"/>
        <v>1963.9487679031217</v>
      </c>
    </row>
    <row r="45" spans="1:22" ht="15.75" x14ac:dyDescent="0.25">
      <c r="A45" s="135">
        <v>8</v>
      </c>
      <c r="B45" s="136">
        <v>8</v>
      </c>
      <c r="C45" s="137">
        <v>7</v>
      </c>
      <c r="D45" s="137">
        <v>6</v>
      </c>
      <c r="E45" s="138">
        <v>5</v>
      </c>
      <c r="F45" s="139">
        <v>3</v>
      </c>
      <c r="G45" s="140">
        <v>2</v>
      </c>
      <c r="H45" s="140">
        <v>1</v>
      </c>
      <c r="I45" s="141"/>
      <c r="J45" s="142"/>
      <c r="K45" s="143"/>
      <c r="L45" s="143"/>
      <c r="M45" s="144"/>
      <c r="N45" s="128"/>
      <c r="O45" s="129"/>
      <c r="P45" s="129"/>
      <c r="Q45" s="130"/>
      <c r="R45" s="131"/>
      <c r="S45" s="132"/>
      <c r="T45" s="132"/>
      <c r="U45" s="133"/>
      <c r="V45" s="145">
        <f t="shared" si="0"/>
        <v>1890.2298054890489</v>
      </c>
    </row>
    <row r="46" spans="1:22" ht="15.75" x14ac:dyDescent="0.25">
      <c r="A46" s="135">
        <v>7</v>
      </c>
      <c r="B46" s="136">
        <v>7</v>
      </c>
      <c r="C46" s="137">
        <v>6</v>
      </c>
      <c r="D46" s="137">
        <v>5</v>
      </c>
      <c r="E46" s="138">
        <v>4</v>
      </c>
      <c r="F46" s="139">
        <v>2</v>
      </c>
      <c r="G46" s="140">
        <v>1</v>
      </c>
      <c r="H46" s="140"/>
      <c r="I46" s="141"/>
      <c r="J46" s="142"/>
      <c r="K46" s="143"/>
      <c r="L46" s="143"/>
      <c r="M46" s="144"/>
      <c r="N46" s="128"/>
      <c r="O46" s="129"/>
      <c r="P46" s="129"/>
      <c r="Q46" s="130"/>
      <c r="R46" s="131"/>
      <c r="S46" s="132"/>
      <c r="T46" s="132"/>
      <c r="U46" s="133"/>
      <c r="V46" s="145">
        <f t="shared" si="0"/>
        <v>1819.2779648595274</v>
      </c>
    </row>
    <row r="47" spans="1:22" ht="15.75" x14ac:dyDescent="0.25">
      <c r="A47" s="135">
        <v>6</v>
      </c>
      <c r="B47" s="136">
        <v>6</v>
      </c>
      <c r="C47" s="137">
        <v>5</v>
      </c>
      <c r="D47" s="137">
        <v>4</v>
      </c>
      <c r="E47" s="138">
        <v>3</v>
      </c>
      <c r="F47" s="139">
        <v>1</v>
      </c>
      <c r="G47" s="140"/>
      <c r="H47" s="140"/>
      <c r="I47" s="141"/>
      <c r="J47" s="142"/>
      <c r="K47" s="143"/>
      <c r="L47" s="143"/>
      <c r="M47" s="144"/>
      <c r="N47" s="128"/>
      <c r="O47" s="129"/>
      <c r="P47" s="129"/>
      <c r="Q47" s="130"/>
      <c r="R47" s="131"/>
      <c r="S47" s="132"/>
      <c r="T47" s="132"/>
      <c r="U47" s="133"/>
      <c r="V47" s="145">
        <f t="shared" si="0"/>
        <v>1750.98937907558</v>
      </c>
    </row>
    <row r="48" spans="1:22" ht="15.75" x14ac:dyDescent="0.25">
      <c r="A48" s="135">
        <v>5</v>
      </c>
      <c r="B48" s="136">
        <v>5</v>
      </c>
      <c r="C48" s="137">
        <v>4</v>
      </c>
      <c r="D48" s="137">
        <v>3</v>
      </c>
      <c r="E48" s="138">
        <v>2</v>
      </c>
      <c r="F48" s="139"/>
      <c r="G48" s="140"/>
      <c r="H48" s="140"/>
      <c r="I48" s="141"/>
      <c r="J48" s="142"/>
      <c r="K48" s="143"/>
      <c r="L48" s="143"/>
      <c r="M48" s="144"/>
      <c r="N48" s="128"/>
      <c r="O48" s="129"/>
      <c r="P48" s="129"/>
      <c r="Q48" s="130"/>
      <c r="R48" s="131"/>
      <c r="S48" s="132"/>
      <c r="T48" s="132"/>
      <c r="U48" s="133"/>
      <c r="V48" s="145">
        <f t="shared" si="0"/>
        <v>1685.2640799572475</v>
      </c>
    </row>
    <row r="49" spans="1:23" ht="15.75" x14ac:dyDescent="0.25">
      <c r="A49" s="135">
        <v>4</v>
      </c>
      <c r="B49" s="136">
        <v>4</v>
      </c>
      <c r="C49" s="137">
        <v>3</v>
      </c>
      <c r="D49" s="137">
        <v>2</v>
      </c>
      <c r="E49" s="138">
        <v>1</v>
      </c>
      <c r="F49" s="139"/>
      <c r="G49" s="140"/>
      <c r="H49" s="140"/>
      <c r="I49" s="141"/>
      <c r="J49" s="142"/>
      <c r="K49" s="143"/>
      <c r="L49" s="143"/>
      <c r="M49" s="144"/>
      <c r="N49" s="128"/>
      <c r="O49" s="129"/>
      <c r="P49" s="129"/>
      <c r="Q49" s="130"/>
      <c r="R49" s="131"/>
      <c r="S49" s="132"/>
      <c r="T49" s="132"/>
      <c r="U49" s="133"/>
      <c r="V49" s="145">
        <f t="shared" si="0"/>
        <v>1622.0058517394107</v>
      </c>
      <c r="W49" s="344"/>
    </row>
    <row r="50" spans="1:23" ht="15.75" x14ac:dyDescent="0.25">
      <c r="A50" s="135">
        <v>3</v>
      </c>
      <c r="B50" s="136">
        <v>3</v>
      </c>
      <c r="C50" s="137">
        <v>2</v>
      </c>
      <c r="D50" s="137">
        <v>1</v>
      </c>
      <c r="E50" s="138"/>
      <c r="F50" s="139"/>
      <c r="G50" s="140"/>
      <c r="H50" s="140"/>
      <c r="I50" s="141"/>
      <c r="J50" s="142"/>
      <c r="K50" s="143"/>
      <c r="L50" s="143"/>
      <c r="M50" s="144"/>
      <c r="N50" s="128"/>
      <c r="O50" s="129"/>
      <c r="P50" s="129"/>
      <c r="Q50" s="130"/>
      <c r="R50" s="131"/>
      <c r="S50" s="132"/>
      <c r="T50" s="132"/>
      <c r="U50" s="133"/>
      <c r="V50" s="145">
        <f t="shared" si="0"/>
        <v>1561.1220902207997</v>
      </c>
    </row>
    <row r="51" spans="1:23" ht="15.75" x14ac:dyDescent="0.25">
      <c r="A51" s="135">
        <v>2</v>
      </c>
      <c r="B51" s="136">
        <v>2</v>
      </c>
      <c r="C51" s="137">
        <v>1</v>
      </c>
      <c r="D51" s="137"/>
      <c r="E51" s="138"/>
      <c r="F51" s="139"/>
      <c r="G51" s="140"/>
      <c r="H51" s="140"/>
      <c r="I51" s="141"/>
      <c r="J51" s="142"/>
      <c r="K51" s="143"/>
      <c r="L51" s="143"/>
      <c r="M51" s="144"/>
      <c r="N51" s="128"/>
      <c r="O51" s="129"/>
      <c r="P51" s="129"/>
      <c r="Q51" s="130"/>
      <c r="R51" s="131"/>
      <c r="S51" s="132"/>
      <c r="T51" s="132"/>
      <c r="U51" s="133"/>
      <c r="V51" s="145">
        <f t="shared" si="0"/>
        <v>1502.5236671999999</v>
      </c>
    </row>
    <row r="52" spans="1:23" ht="16.5" thickBot="1" x14ac:dyDescent="0.3">
      <c r="A52" s="152">
        <v>1</v>
      </c>
      <c r="B52" s="153">
        <v>1</v>
      </c>
      <c r="C52" s="154"/>
      <c r="D52" s="154"/>
      <c r="E52" s="155"/>
      <c r="F52" s="156"/>
      <c r="G52" s="157"/>
      <c r="H52" s="157"/>
      <c r="I52" s="158"/>
      <c r="J52" s="159"/>
      <c r="K52" s="160"/>
      <c r="L52" s="160"/>
      <c r="M52" s="161"/>
      <c r="N52" s="162"/>
      <c r="O52" s="163"/>
      <c r="P52" s="163"/>
      <c r="Q52" s="164"/>
      <c r="R52" s="165"/>
      <c r="S52" s="166"/>
      <c r="T52" s="166"/>
      <c r="U52" s="167"/>
      <c r="V52" s="168">
        <f>F7</f>
        <v>1446.1248000000001</v>
      </c>
    </row>
  </sheetData>
  <mergeCells count="12">
    <mergeCell ref="F6:I6"/>
    <mergeCell ref="J6:M6"/>
    <mergeCell ref="F7:I7"/>
    <mergeCell ref="J7:M7"/>
    <mergeCell ref="A1:V1"/>
    <mergeCell ref="A2:A3"/>
    <mergeCell ref="B2:E2"/>
    <mergeCell ref="F2:I2"/>
    <mergeCell ref="J2:M2"/>
    <mergeCell ref="N2:Q2"/>
    <mergeCell ref="R2:U2"/>
    <mergeCell ref="V2:V3"/>
  </mergeCells>
  <pageMargins left="0.51181102362204722" right="0.51181102362204722" top="0.78740157480314965" bottom="0.78740157480314965" header="0.31496062992125984" footer="0.31496062992125984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E962-AA87-4526-9415-A458FDE29AC8}">
  <dimension ref="A2:R50"/>
  <sheetViews>
    <sheetView workbookViewId="0">
      <selection activeCell="C17" sqref="C17"/>
    </sheetView>
  </sheetViews>
  <sheetFormatPr defaultRowHeight="15" x14ac:dyDescent="0.25"/>
  <cols>
    <col min="2" max="2" width="6" style="96" customWidth="1"/>
    <col min="3" max="3" width="12.7109375" bestFit="1" customWidth="1"/>
    <col min="13" max="14" width="10.140625" bestFit="1" customWidth="1"/>
  </cols>
  <sheetData>
    <row r="2" spans="1:18" ht="15.75" thickBot="1" x14ac:dyDescent="0.3">
      <c r="A2" s="467" t="s">
        <v>54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8" ht="15.75" thickBot="1" x14ac:dyDescent="0.3">
      <c r="C3" s="468" t="s">
        <v>57</v>
      </c>
      <c r="D3" s="469"/>
      <c r="E3" s="470"/>
      <c r="F3" s="468" t="s">
        <v>58</v>
      </c>
      <c r="G3" s="469"/>
      <c r="H3" s="469"/>
      <c r="I3" s="468" t="s">
        <v>59</v>
      </c>
      <c r="J3" s="469"/>
      <c r="K3" s="470"/>
      <c r="L3" s="469" t="s">
        <v>60</v>
      </c>
      <c r="M3" s="469"/>
      <c r="N3" s="469"/>
      <c r="O3" s="468" t="s">
        <v>61</v>
      </c>
      <c r="P3" s="469"/>
      <c r="Q3" s="470"/>
    </row>
    <row r="4" spans="1:18" ht="15.75" thickBot="1" x14ac:dyDescent="0.3">
      <c r="A4" s="390" t="s">
        <v>55</v>
      </c>
      <c r="B4" s="391" t="s">
        <v>56</v>
      </c>
      <c r="C4" s="385" t="s">
        <v>62</v>
      </c>
      <c r="D4" s="386" t="s">
        <v>63</v>
      </c>
      <c r="E4" s="387" t="s">
        <v>64</v>
      </c>
      <c r="F4" s="388" t="s">
        <v>62</v>
      </c>
      <c r="G4" s="386" t="s">
        <v>63</v>
      </c>
      <c r="H4" s="389" t="s">
        <v>64</v>
      </c>
      <c r="I4" s="385" t="s">
        <v>62</v>
      </c>
      <c r="J4" s="386" t="s">
        <v>63</v>
      </c>
      <c r="K4" s="387" t="s">
        <v>64</v>
      </c>
      <c r="L4" s="388" t="s">
        <v>62</v>
      </c>
      <c r="M4" s="386" t="s">
        <v>63</v>
      </c>
      <c r="N4" s="389" t="s">
        <v>64</v>
      </c>
      <c r="O4" s="385" t="s">
        <v>62</v>
      </c>
      <c r="P4" s="386" t="s">
        <v>63</v>
      </c>
      <c r="Q4" s="387" t="s">
        <v>64</v>
      </c>
    </row>
    <row r="5" spans="1:18" ht="15.75" thickBot="1" x14ac:dyDescent="0.3">
      <c r="A5" s="393" t="s">
        <v>24</v>
      </c>
      <c r="B5" s="394">
        <v>1</v>
      </c>
      <c r="C5" s="395"/>
      <c r="D5" s="396"/>
      <c r="E5" s="397"/>
      <c r="F5" s="382"/>
      <c r="G5" s="396"/>
      <c r="H5" s="398"/>
      <c r="I5" s="395"/>
      <c r="J5" s="396"/>
      <c r="K5" s="397"/>
      <c r="L5" s="382"/>
      <c r="M5" s="396"/>
      <c r="N5" s="398"/>
      <c r="O5" s="434">
        <f>6684.19*1.09</f>
        <v>7285.7671</v>
      </c>
      <c r="P5" s="435">
        <f>5765.11*1.09</f>
        <v>6283.9699000000001</v>
      </c>
      <c r="Q5" s="433">
        <f>O5+P5</f>
        <v>13569.737000000001</v>
      </c>
    </row>
    <row r="6" spans="1:18" x14ac:dyDescent="0.25">
      <c r="A6" s="473" t="s">
        <v>65</v>
      </c>
      <c r="B6" s="399">
        <v>4</v>
      </c>
      <c r="C6" s="401">
        <f>6076.54*1.09</f>
        <v>6623.4286000000002</v>
      </c>
      <c r="D6" s="406">
        <v>0</v>
      </c>
      <c r="E6" s="417">
        <f>C6+D6</f>
        <v>6623.4286000000002</v>
      </c>
      <c r="F6" s="424">
        <f>C6</f>
        <v>6623.4286000000002</v>
      </c>
      <c r="G6" s="369">
        <f>455.74*1.09</f>
        <v>496.75660000000005</v>
      </c>
      <c r="H6" s="425">
        <f>F6+G6</f>
        <v>7120.1851999999999</v>
      </c>
      <c r="I6" s="401">
        <f>C6</f>
        <v>6623.4286000000002</v>
      </c>
      <c r="J6" s="369">
        <f>911.48*1.09</f>
        <v>993.5132000000001</v>
      </c>
      <c r="K6" s="412">
        <f>I6+J6</f>
        <v>7616.9418000000005</v>
      </c>
      <c r="L6" s="401">
        <f>C6</f>
        <v>6623.4286000000002</v>
      </c>
      <c r="M6" s="369">
        <f>2278.7*1.09</f>
        <v>2483.7829999999999</v>
      </c>
      <c r="N6" s="425">
        <f>L6+M6</f>
        <v>9107.2116000000005</v>
      </c>
      <c r="O6" s="401">
        <f>C6</f>
        <v>6623.4286000000002</v>
      </c>
      <c r="P6" s="369">
        <f>5241.01*1.09</f>
        <v>5712.7009000000007</v>
      </c>
      <c r="Q6" s="412">
        <f>O6+P6</f>
        <v>12336.129500000001</v>
      </c>
    </row>
    <row r="7" spans="1:18" ht="15.75" thickBot="1" x14ac:dyDescent="0.3">
      <c r="A7" s="465"/>
      <c r="B7" s="384">
        <v>3</v>
      </c>
      <c r="C7" s="402">
        <f>5842.82*1.09</f>
        <v>6368.6738000000005</v>
      </c>
      <c r="D7" s="414">
        <v>0</v>
      </c>
      <c r="E7" s="418">
        <f>C7+D7</f>
        <v>6368.6738000000005</v>
      </c>
      <c r="F7" s="426">
        <f>C7</f>
        <v>6368.6738000000005</v>
      </c>
      <c r="G7" s="370">
        <f>438.21*1.09</f>
        <v>477.64890000000003</v>
      </c>
      <c r="H7" s="427">
        <f>F7+G7</f>
        <v>6846.3227000000006</v>
      </c>
      <c r="I7" s="402">
        <f>C7</f>
        <v>6368.6738000000005</v>
      </c>
      <c r="J7" s="370">
        <f>876.42*1.09</f>
        <v>955.29780000000005</v>
      </c>
      <c r="K7" s="413">
        <f>I7+J7</f>
        <v>7323.9716000000008</v>
      </c>
      <c r="L7" s="402">
        <f>C7</f>
        <v>6368.6738000000005</v>
      </c>
      <c r="M7" s="370">
        <f>2191.06*1.09</f>
        <v>2388.2554</v>
      </c>
      <c r="N7" s="427">
        <f>L7+M7</f>
        <v>8756.9292000000005</v>
      </c>
      <c r="O7" s="402">
        <f>C7</f>
        <v>6368.6738000000005</v>
      </c>
      <c r="P7" s="370">
        <f>5039.43*1.09</f>
        <v>5492.9787000000006</v>
      </c>
      <c r="Q7" s="433">
        <f t="shared" ref="Q7:Q17" si="0">O7+P7</f>
        <v>11861.6525</v>
      </c>
    </row>
    <row r="8" spans="1:18" x14ac:dyDescent="0.25">
      <c r="A8" s="465"/>
      <c r="B8" s="384">
        <v>2</v>
      </c>
      <c r="C8" s="402">
        <f>5618.1*1.09</f>
        <v>6123.7290000000012</v>
      </c>
      <c r="D8" s="414">
        <v>0</v>
      </c>
      <c r="E8" s="418">
        <f t="shared" ref="E8:E17" si="1">C8+D8</f>
        <v>6123.7290000000012</v>
      </c>
      <c r="F8" s="424">
        <f t="shared" ref="F8:F17" si="2">C8</f>
        <v>6123.7290000000012</v>
      </c>
      <c r="G8" s="370">
        <f>421.36*1.09</f>
        <v>459.28240000000005</v>
      </c>
      <c r="H8" s="425">
        <f t="shared" ref="H8:H16" si="3">F8+G8</f>
        <v>6583.0114000000012</v>
      </c>
      <c r="I8" s="401">
        <f t="shared" ref="I8:I17" si="4">C8</f>
        <v>6123.7290000000012</v>
      </c>
      <c r="J8" s="370">
        <f>842.71*1.09</f>
        <v>918.55390000000011</v>
      </c>
      <c r="K8" s="412">
        <f t="shared" ref="K8:K17" si="5">I8+J8</f>
        <v>7042.2829000000011</v>
      </c>
      <c r="L8" s="401">
        <f t="shared" ref="L8:L17" si="6">C8</f>
        <v>6123.7290000000012</v>
      </c>
      <c r="M8" s="370">
        <f>2106.79*1.09</f>
        <v>2296.4011</v>
      </c>
      <c r="N8" s="425">
        <f t="shared" ref="N8:N17" si="7">L8+M8</f>
        <v>8420.1301000000021</v>
      </c>
      <c r="O8" s="401">
        <f t="shared" ref="O8:O17" si="8">C8</f>
        <v>6123.7290000000012</v>
      </c>
      <c r="P8" s="370">
        <f>4845.61*1.09</f>
        <v>5281.7148999999999</v>
      </c>
      <c r="Q8" s="412">
        <f t="shared" si="0"/>
        <v>11405.443900000002</v>
      </c>
    </row>
    <row r="9" spans="1:18" ht="15.75" thickBot="1" x14ac:dyDescent="0.3">
      <c r="A9" s="466"/>
      <c r="B9" s="392">
        <v>1</v>
      </c>
      <c r="C9" s="405">
        <f>5402.02*1.09</f>
        <v>5888.2018000000007</v>
      </c>
      <c r="D9" s="416">
        <v>0</v>
      </c>
      <c r="E9" s="420">
        <f t="shared" si="1"/>
        <v>5888.2018000000007</v>
      </c>
      <c r="F9" s="426">
        <f t="shared" si="2"/>
        <v>5888.2018000000007</v>
      </c>
      <c r="G9" s="371">
        <f>405.15*1.09</f>
        <v>441.61349999999999</v>
      </c>
      <c r="H9" s="427">
        <f t="shared" si="3"/>
        <v>6329.8153000000011</v>
      </c>
      <c r="I9" s="402">
        <f t="shared" si="4"/>
        <v>5888.2018000000007</v>
      </c>
      <c r="J9" s="371">
        <f>810.3*1.09</f>
        <v>883.22699999999998</v>
      </c>
      <c r="K9" s="413">
        <f t="shared" si="5"/>
        <v>6771.4288000000006</v>
      </c>
      <c r="L9" s="402">
        <f t="shared" si="6"/>
        <v>5888.2018000000007</v>
      </c>
      <c r="M9" s="371">
        <f>2025.76*1.09</f>
        <v>2208.0784000000003</v>
      </c>
      <c r="N9" s="427">
        <f t="shared" si="7"/>
        <v>8096.2802000000011</v>
      </c>
      <c r="O9" s="402">
        <f t="shared" si="8"/>
        <v>5888.2018000000007</v>
      </c>
      <c r="P9" s="371">
        <f>4659.24*1.09</f>
        <v>5078.5716000000002</v>
      </c>
      <c r="Q9" s="433">
        <f t="shared" si="0"/>
        <v>10966.773400000002</v>
      </c>
    </row>
    <row r="10" spans="1:18" x14ac:dyDescent="0.25">
      <c r="A10" s="471" t="s">
        <v>66</v>
      </c>
      <c r="B10" s="383">
        <v>4</v>
      </c>
      <c r="C10" s="401">
        <f>4321.61*1.09</f>
        <v>4710.5549000000001</v>
      </c>
      <c r="D10" s="406">
        <v>0</v>
      </c>
      <c r="E10" s="417">
        <f t="shared" si="1"/>
        <v>4710.5549000000001</v>
      </c>
      <c r="F10" s="424">
        <f t="shared" si="2"/>
        <v>4710.5549000000001</v>
      </c>
      <c r="G10" s="429">
        <f>324.12*1.09</f>
        <v>353.29080000000005</v>
      </c>
      <c r="H10" s="425">
        <f t="shared" si="3"/>
        <v>5063.8456999999999</v>
      </c>
      <c r="I10" s="401">
        <f t="shared" si="4"/>
        <v>4710.5549000000001</v>
      </c>
      <c r="J10" s="429">
        <f>648.24*1.09</f>
        <v>706.58160000000009</v>
      </c>
      <c r="K10" s="412">
        <f t="shared" si="5"/>
        <v>5417.1365000000005</v>
      </c>
      <c r="L10" s="401">
        <f t="shared" si="6"/>
        <v>4710.5549000000001</v>
      </c>
      <c r="M10" s="429">
        <f>1620.61*1.09</f>
        <v>1766.4648999999999</v>
      </c>
      <c r="N10" s="425">
        <f t="shared" si="7"/>
        <v>6477.0198</v>
      </c>
      <c r="O10" s="401">
        <f t="shared" si="8"/>
        <v>4710.5549000000001</v>
      </c>
      <c r="P10" s="429">
        <f>3727.39*1.09</f>
        <v>4062.8551000000002</v>
      </c>
      <c r="Q10" s="412">
        <f t="shared" si="0"/>
        <v>8773.41</v>
      </c>
    </row>
    <row r="11" spans="1:18" ht="15.75" thickBot="1" x14ac:dyDescent="0.3">
      <c r="A11" s="465"/>
      <c r="B11" s="384">
        <v>3</v>
      </c>
      <c r="C11" s="402">
        <f>4155.4*1.09</f>
        <v>4529.3859999999995</v>
      </c>
      <c r="D11" s="414">
        <v>0</v>
      </c>
      <c r="E11" s="418">
        <f t="shared" si="1"/>
        <v>4529.3859999999995</v>
      </c>
      <c r="F11" s="426">
        <f t="shared" si="2"/>
        <v>4529.3859999999995</v>
      </c>
      <c r="G11" s="370">
        <f>311.65*1</f>
        <v>311.64999999999998</v>
      </c>
      <c r="H11" s="427">
        <f t="shared" si="3"/>
        <v>4841.0359999999991</v>
      </c>
      <c r="I11" s="402">
        <f t="shared" si="4"/>
        <v>4529.3859999999995</v>
      </c>
      <c r="J11" s="370">
        <f>623.31*1.09</f>
        <v>679.40790000000004</v>
      </c>
      <c r="K11" s="413">
        <f t="shared" si="5"/>
        <v>5208.7938999999997</v>
      </c>
      <c r="L11" s="402">
        <f t="shared" si="6"/>
        <v>4529.3859999999995</v>
      </c>
      <c r="M11" s="370">
        <f>1558.27*1.09</f>
        <v>1698.5143</v>
      </c>
      <c r="N11" s="427">
        <f t="shared" si="7"/>
        <v>6227.9002999999993</v>
      </c>
      <c r="O11" s="402">
        <f t="shared" si="8"/>
        <v>4529.3859999999995</v>
      </c>
      <c r="P11" s="370">
        <f>3584.03*1.09</f>
        <v>3906.5927000000006</v>
      </c>
      <c r="Q11" s="433">
        <f t="shared" si="0"/>
        <v>8435.9786999999997</v>
      </c>
    </row>
    <row r="12" spans="1:18" x14ac:dyDescent="0.25">
      <c r="A12" s="465"/>
      <c r="B12" s="384">
        <v>2</v>
      </c>
      <c r="C12" s="402">
        <f>3995.58*1.09</f>
        <v>4355.1822000000002</v>
      </c>
      <c r="D12" s="414">
        <v>0</v>
      </c>
      <c r="E12" s="418">
        <f t="shared" si="1"/>
        <v>4355.1822000000002</v>
      </c>
      <c r="F12" s="424">
        <f t="shared" si="2"/>
        <v>4355.1822000000002</v>
      </c>
      <c r="G12" s="370">
        <f>299.67*1.09</f>
        <v>326.64030000000002</v>
      </c>
      <c r="H12" s="425">
        <f t="shared" si="3"/>
        <v>4681.8225000000002</v>
      </c>
      <c r="I12" s="401">
        <f t="shared" si="4"/>
        <v>4355.1822000000002</v>
      </c>
      <c r="J12" s="370">
        <f>599.34*1.09</f>
        <v>653.28060000000005</v>
      </c>
      <c r="K12" s="412">
        <f t="shared" si="5"/>
        <v>5008.4628000000002</v>
      </c>
      <c r="L12" s="401">
        <f t="shared" si="6"/>
        <v>4355.1822000000002</v>
      </c>
      <c r="M12" s="370">
        <f>1498.34*1.09</f>
        <v>1633.1906000000001</v>
      </c>
      <c r="N12" s="425">
        <f t="shared" si="7"/>
        <v>5988.3728000000001</v>
      </c>
      <c r="O12" s="401">
        <f t="shared" si="8"/>
        <v>4355.1822000000002</v>
      </c>
      <c r="P12" s="370">
        <f>3446.18*1.09</f>
        <v>3756.3362000000002</v>
      </c>
      <c r="Q12" s="412">
        <f t="shared" si="0"/>
        <v>8111.5184000000008</v>
      </c>
    </row>
    <row r="13" spans="1:18" ht="15.75" thickBot="1" x14ac:dyDescent="0.3">
      <c r="A13" s="472"/>
      <c r="B13" s="394">
        <v>1</v>
      </c>
      <c r="C13" s="403">
        <f>3841.9*1.09</f>
        <v>4187.6710000000003</v>
      </c>
      <c r="D13" s="407">
        <v>0</v>
      </c>
      <c r="E13" s="419">
        <f t="shared" si="1"/>
        <v>4187.6710000000003</v>
      </c>
      <c r="F13" s="426">
        <f t="shared" si="2"/>
        <v>4187.6710000000003</v>
      </c>
      <c r="G13" s="432">
        <f>288.14*1.09</f>
        <v>314.07260000000002</v>
      </c>
      <c r="H13" s="427">
        <f t="shared" si="3"/>
        <v>4501.7436000000007</v>
      </c>
      <c r="I13" s="402">
        <f t="shared" si="4"/>
        <v>4187.6710000000003</v>
      </c>
      <c r="J13" s="432">
        <f>576.28*1.09</f>
        <v>628.14520000000005</v>
      </c>
      <c r="K13" s="413">
        <f t="shared" si="5"/>
        <v>4815.8162000000002</v>
      </c>
      <c r="L13" s="402">
        <f t="shared" si="6"/>
        <v>4187.6710000000003</v>
      </c>
      <c r="M13" s="432">
        <f>1440.71*1.09</f>
        <v>1570.3739</v>
      </c>
      <c r="N13" s="427">
        <f t="shared" si="7"/>
        <v>5758.0449000000008</v>
      </c>
      <c r="O13" s="402">
        <f t="shared" si="8"/>
        <v>4187.6710000000003</v>
      </c>
      <c r="P13" s="432">
        <f>3313.64*1.09</f>
        <v>3611.8676</v>
      </c>
      <c r="Q13" s="433">
        <f t="shared" si="0"/>
        <v>7799.5385999999999</v>
      </c>
    </row>
    <row r="14" spans="1:18" ht="15.75" thickBot="1" x14ac:dyDescent="0.3">
      <c r="A14" s="473" t="s">
        <v>67</v>
      </c>
      <c r="B14" s="399">
        <v>2</v>
      </c>
      <c r="C14" s="404">
        <f>3641.61*1.09</f>
        <v>3969.3549000000003</v>
      </c>
      <c r="D14" s="415">
        <v>0</v>
      </c>
      <c r="E14" s="422">
        <f t="shared" si="1"/>
        <v>3969.3549000000003</v>
      </c>
      <c r="F14" s="424">
        <f t="shared" si="2"/>
        <v>3969.3549000000003</v>
      </c>
      <c r="G14" s="369">
        <f>273.12*1.09</f>
        <v>297.70080000000002</v>
      </c>
      <c r="H14" s="425">
        <f t="shared" si="3"/>
        <v>4267.0556999999999</v>
      </c>
      <c r="I14" s="401">
        <f t="shared" si="4"/>
        <v>3969.3549000000003</v>
      </c>
      <c r="J14" s="369">
        <f>546.24*1.09</f>
        <v>595.40160000000003</v>
      </c>
      <c r="K14" s="412">
        <f t="shared" si="5"/>
        <v>4564.7565000000004</v>
      </c>
      <c r="L14" s="401">
        <f t="shared" si="6"/>
        <v>3969.3549000000003</v>
      </c>
      <c r="M14" s="369">
        <f>1365.6*1.09</f>
        <v>1488.5039999999999</v>
      </c>
      <c r="N14" s="425">
        <f t="shared" si="7"/>
        <v>5457.8589000000002</v>
      </c>
      <c r="O14" s="401">
        <f t="shared" si="8"/>
        <v>3969.3549000000003</v>
      </c>
      <c r="P14" s="369">
        <f>3140.89*1.09</f>
        <v>3423.5700999999999</v>
      </c>
      <c r="Q14" s="412">
        <f t="shared" si="0"/>
        <v>7392.9250000000002</v>
      </c>
    </row>
    <row r="15" spans="1:18" ht="15.75" thickBot="1" x14ac:dyDescent="0.3">
      <c r="A15" s="466"/>
      <c r="B15" s="392">
        <v>1</v>
      </c>
      <c r="C15" s="403">
        <f>3468.2*1.09</f>
        <v>3780.3380000000002</v>
      </c>
      <c r="D15" s="407">
        <v>0</v>
      </c>
      <c r="E15" s="423">
        <f t="shared" si="1"/>
        <v>3780.3380000000002</v>
      </c>
      <c r="F15" s="426">
        <f t="shared" si="2"/>
        <v>3780.3380000000002</v>
      </c>
      <c r="G15" s="371">
        <f>260.12*1.09</f>
        <v>283.5308</v>
      </c>
      <c r="H15" s="427">
        <f t="shared" si="3"/>
        <v>4063.8688000000002</v>
      </c>
      <c r="I15" s="402">
        <f t="shared" si="4"/>
        <v>3780.3380000000002</v>
      </c>
      <c r="J15" s="371">
        <f>520.23*1.09</f>
        <v>567.05070000000001</v>
      </c>
      <c r="K15" s="413">
        <f t="shared" si="5"/>
        <v>4347.3887000000004</v>
      </c>
      <c r="L15" s="402">
        <f t="shared" si="6"/>
        <v>3780.3380000000002</v>
      </c>
      <c r="M15" s="371">
        <f>1300.58*1.09</f>
        <v>1417.6322</v>
      </c>
      <c r="N15" s="427">
        <f t="shared" si="7"/>
        <v>5197.9701999999997</v>
      </c>
      <c r="O15" s="402">
        <f t="shared" si="8"/>
        <v>3780.3380000000002</v>
      </c>
      <c r="P15" s="371">
        <f>2991.32*1.09</f>
        <v>3260.5388000000003</v>
      </c>
      <c r="Q15" s="433">
        <f t="shared" si="0"/>
        <v>7040.8768</v>
      </c>
    </row>
    <row r="16" spans="1:18" ht="15.75" thickBot="1" x14ac:dyDescent="0.3">
      <c r="A16" s="471" t="s">
        <v>68</v>
      </c>
      <c r="B16" s="383">
        <v>2</v>
      </c>
      <c r="C16" s="404">
        <f>3287.39*1.09</f>
        <v>3583.2551000000003</v>
      </c>
      <c r="D16" s="415">
        <v>0</v>
      </c>
      <c r="E16" s="421">
        <f t="shared" si="1"/>
        <v>3583.2551000000003</v>
      </c>
      <c r="F16" s="424">
        <f t="shared" si="2"/>
        <v>3583.2551000000003</v>
      </c>
      <c r="G16" s="429">
        <f>246.55*1.09</f>
        <v>268.73950000000002</v>
      </c>
      <c r="H16" s="425">
        <f t="shared" si="3"/>
        <v>3851.9946000000004</v>
      </c>
      <c r="I16" s="401">
        <f t="shared" si="4"/>
        <v>3583.2551000000003</v>
      </c>
      <c r="J16" s="429">
        <f>493.11*1.09</f>
        <v>537.48990000000003</v>
      </c>
      <c r="K16" s="412">
        <f t="shared" si="5"/>
        <v>4120.7450000000008</v>
      </c>
      <c r="L16" s="401">
        <f t="shared" si="6"/>
        <v>3583.2551000000003</v>
      </c>
      <c r="M16" s="429">
        <f>1232.77*1.09</f>
        <v>1343.7193</v>
      </c>
      <c r="N16" s="425">
        <f t="shared" si="7"/>
        <v>4926.9744000000001</v>
      </c>
      <c r="O16" s="401">
        <f t="shared" si="8"/>
        <v>3583.2551000000003</v>
      </c>
      <c r="P16" s="429">
        <f>2835.38*1.09</f>
        <v>3090.5642000000003</v>
      </c>
      <c r="Q16" s="412">
        <f t="shared" si="0"/>
        <v>6673.819300000001</v>
      </c>
    </row>
    <row r="17" spans="1:17" ht="15.75" thickBot="1" x14ac:dyDescent="0.3">
      <c r="A17" s="466"/>
      <c r="B17" s="392">
        <v>1</v>
      </c>
      <c r="C17" s="403">
        <f>3130.85*1.09</f>
        <v>3412.6265000000003</v>
      </c>
      <c r="D17" s="407">
        <v>0</v>
      </c>
      <c r="E17" s="419">
        <f t="shared" si="1"/>
        <v>3412.6265000000003</v>
      </c>
      <c r="F17" s="426">
        <f t="shared" si="2"/>
        <v>3412.6265000000003</v>
      </c>
      <c r="G17" s="371">
        <f>234.81*1.09</f>
        <v>255.94290000000001</v>
      </c>
      <c r="H17" s="425">
        <f>F17+G17</f>
        <v>3668.5694000000003</v>
      </c>
      <c r="I17" s="402">
        <f t="shared" si="4"/>
        <v>3412.6265000000003</v>
      </c>
      <c r="J17" s="371">
        <f>469.63*1.09</f>
        <v>511.89670000000001</v>
      </c>
      <c r="K17" s="413">
        <f t="shared" si="5"/>
        <v>3924.5232000000005</v>
      </c>
      <c r="L17" s="402">
        <f t="shared" si="6"/>
        <v>3412.6265000000003</v>
      </c>
      <c r="M17" s="371">
        <f>1174.07*1.09</f>
        <v>1279.7363</v>
      </c>
      <c r="N17" s="427">
        <f t="shared" si="7"/>
        <v>4692.3628000000008</v>
      </c>
      <c r="O17" s="402">
        <f t="shared" si="8"/>
        <v>3412.6265000000003</v>
      </c>
      <c r="P17" s="371">
        <f>2700.36*1.09</f>
        <v>2943.3924000000002</v>
      </c>
      <c r="Q17" s="433">
        <f t="shared" si="0"/>
        <v>6356.0189000000009</v>
      </c>
    </row>
    <row r="18" spans="1:17" ht="15.75" thickBot="1" x14ac:dyDescent="0.3">
      <c r="B18" s="474" t="s">
        <v>17</v>
      </c>
      <c r="C18" s="474"/>
      <c r="D18" s="474"/>
      <c r="E18" s="475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</row>
    <row r="19" spans="1:17" ht="15.75" thickBot="1" x14ac:dyDescent="0.3">
      <c r="C19" s="468" t="s">
        <v>57</v>
      </c>
      <c r="D19" s="469"/>
      <c r="E19" s="470"/>
      <c r="F19" s="468" t="s">
        <v>58</v>
      </c>
      <c r="G19" s="469"/>
      <c r="H19" s="469"/>
      <c r="I19" s="468" t="s">
        <v>59</v>
      </c>
      <c r="J19" s="469"/>
      <c r="K19" s="470"/>
      <c r="L19" s="469" t="s">
        <v>60</v>
      </c>
      <c r="M19" s="469"/>
      <c r="N19" s="469"/>
      <c r="O19" s="468" t="s">
        <v>61</v>
      </c>
      <c r="P19" s="469"/>
      <c r="Q19" s="470"/>
    </row>
    <row r="20" spans="1:17" ht="15.75" thickBot="1" x14ac:dyDescent="0.3">
      <c r="A20" s="390" t="s">
        <v>55</v>
      </c>
      <c r="B20" s="391" t="s">
        <v>56</v>
      </c>
      <c r="C20" s="385" t="s">
        <v>62</v>
      </c>
      <c r="D20" s="386" t="s">
        <v>63</v>
      </c>
      <c r="E20" s="387" t="s">
        <v>64</v>
      </c>
      <c r="F20" s="388" t="s">
        <v>62</v>
      </c>
      <c r="G20" s="386" t="s">
        <v>63</v>
      </c>
      <c r="H20" s="389" t="s">
        <v>64</v>
      </c>
      <c r="I20" s="385" t="s">
        <v>62</v>
      </c>
      <c r="J20" s="386" t="s">
        <v>63</v>
      </c>
      <c r="K20" s="387" t="s">
        <v>64</v>
      </c>
      <c r="L20" s="388" t="s">
        <v>62</v>
      </c>
      <c r="M20" s="386" t="s">
        <v>63</v>
      </c>
      <c r="N20" s="389" t="s">
        <v>64</v>
      </c>
      <c r="O20" s="385" t="s">
        <v>62</v>
      </c>
      <c r="P20" s="386" t="s">
        <v>63</v>
      </c>
      <c r="Q20" s="387" t="s">
        <v>64</v>
      </c>
    </row>
    <row r="21" spans="1:17" x14ac:dyDescent="0.25">
      <c r="A21" s="354" t="s">
        <v>24</v>
      </c>
      <c r="B21" s="384">
        <v>1</v>
      </c>
      <c r="C21" s="404"/>
      <c r="D21" s="429"/>
      <c r="E21" s="431"/>
      <c r="F21" s="428"/>
      <c r="G21" s="429"/>
      <c r="H21" s="430"/>
      <c r="I21" s="404"/>
      <c r="J21" s="429"/>
      <c r="K21" s="431"/>
      <c r="L21" s="428"/>
      <c r="M21" s="429"/>
      <c r="N21" s="430"/>
      <c r="O21" s="404">
        <f>4774.42*1.09</f>
        <v>5204.1178000000009</v>
      </c>
      <c r="P21" s="429">
        <f>2745.29*1.09</f>
        <v>2992.3661000000002</v>
      </c>
      <c r="Q21" s="431">
        <f>O21+P21</f>
        <v>8196.4839000000011</v>
      </c>
    </row>
    <row r="22" spans="1:17" x14ac:dyDescent="0.25">
      <c r="A22" s="465" t="s">
        <v>65</v>
      </c>
      <c r="B22" s="384">
        <v>4</v>
      </c>
      <c r="C22" s="404">
        <f>4340.38*1.09</f>
        <v>4731.0142000000005</v>
      </c>
      <c r="D22" s="370">
        <v>0</v>
      </c>
      <c r="E22" s="413">
        <f>C22+D22</f>
        <v>4731.0142000000005</v>
      </c>
      <c r="F22" s="404">
        <f>C22</f>
        <v>4731.0142000000005</v>
      </c>
      <c r="G22" s="370">
        <f>217.02*1.09</f>
        <v>236.55180000000004</v>
      </c>
      <c r="H22" s="427">
        <f>F22+G22</f>
        <v>4967.5660000000007</v>
      </c>
      <c r="I22" s="404">
        <f>C22</f>
        <v>4731.0142000000005</v>
      </c>
      <c r="J22" s="370">
        <f>434.04*1.09</f>
        <v>473.10360000000009</v>
      </c>
      <c r="K22" s="413">
        <f>I22+J22</f>
        <v>5204.1178000000009</v>
      </c>
      <c r="L22" s="404">
        <f>C22</f>
        <v>4731.0142000000005</v>
      </c>
      <c r="M22" s="370">
        <f>1085.1*1.09</f>
        <v>1182.759</v>
      </c>
      <c r="N22" s="427">
        <f>L22+M22</f>
        <v>5913.7732000000005</v>
      </c>
      <c r="O22" s="404">
        <f>C22</f>
        <v>4731.0142000000005</v>
      </c>
      <c r="P22" s="370">
        <f>2495.72*1.09</f>
        <v>2720.3348000000001</v>
      </c>
      <c r="Q22" s="413">
        <f>O22+P22</f>
        <v>7451.3490000000002</v>
      </c>
    </row>
    <row r="23" spans="1:17" x14ac:dyDescent="0.25">
      <c r="A23" s="465"/>
      <c r="B23" s="384">
        <v>3</v>
      </c>
      <c r="C23" s="402">
        <f>4173.44*1.09</f>
        <v>4549.0496000000003</v>
      </c>
      <c r="D23" s="370">
        <v>0</v>
      </c>
      <c r="E23" s="413">
        <f>C23+D23</f>
        <v>4549.0496000000003</v>
      </c>
      <c r="F23" s="402">
        <f>C23</f>
        <v>4549.0496000000003</v>
      </c>
      <c r="G23" s="370">
        <f>208.67*1.09</f>
        <v>227.4503</v>
      </c>
      <c r="H23" s="427">
        <f>F23+G23</f>
        <v>4776.4999000000007</v>
      </c>
      <c r="I23" s="402">
        <f>C23</f>
        <v>4549.0496000000003</v>
      </c>
      <c r="J23" s="370">
        <f>417.34*1.09</f>
        <v>454.9006</v>
      </c>
      <c r="K23" s="413">
        <f>I23+J23</f>
        <v>5003.9502000000002</v>
      </c>
      <c r="L23" s="402">
        <f>C23</f>
        <v>4549.0496000000003</v>
      </c>
      <c r="M23" s="370">
        <f>1043.36*1.09</f>
        <v>1137.2624000000001</v>
      </c>
      <c r="N23" s="427">
        <f>L23+M23</f>
        <v>5686.3119999999999</v>
      </c>
      <c r="O23" s="402">
        <f>C23</f>
        <v>4549.0496000000003</v>
      </c>
      <c r="P23" s="370">
        <f>2399.73*1.09</f>
        <v>2615.7057000000004</v>
      </c>
      <c r="Q23" s="413">
        <f>O23+P23</f>
        <v>7164.7553000000007</v>
      </c>
    </row>
    <row r="24" spans="1:17" x14ac:dyDescent="0.25">
      <c r="A24" s="465"/>
      <c r="B24" s="384">
        <v>2</v>
      </c>
      <c r="C24" s="402">
        <f>4012.93*1.09</f>
        <v>4374.0937000000004</v>
      </c>
      <c r="D24" s="370">
        <v>0</v>
      </c>
      <c r="E24" s="413">
        <f t="shared" ref="E24:E33" si="9">C24+D24</f>
        <v>4374.0937000000004</v>
      </c>
      <c r="F24" s="404">
        <f t="shared" ref="F24:F33" si="10">C24</f>
        <v>4374.0937000000004</v>
      </c>
      <c r="G24" s="370">
        <v>200.65</v>
      </c>
      <c r="H24" s="427">
        <f t="shared" ref="H24:H33" si="11">F24+G24</f>
        <v>4574.7437</v>
      </c>
      <c r="I24" s="404">
        <f t="shared" ref="I24:I33" si="12">C24</f>
        <v>4374.0937000000004</v>
      </c>
      <c r="J24" s="370">
        <f>401.29*1.09</f>
        <v>437.40610000000004</v>
      </c>
      <c r="K24" s="413">
        <f t="shared" ref="K24:K33" si="13">I24+J24</f>
        <v>4811.4998000000005</v>
      </c>
      <c r="L24" s="404">
        <f t="shared" ref="L24:L33" si="14">C24</f>
        <v>4374.0937000000004</v>
      </c>
      <c r="M24" s="370">
        <f>1003.23*1.09</f>
        <v>1093.5207</v>
      </c>
      <c r="N24" s="427">
        <f t="shared" ref="N24:N33" si="15">L24+M24</f>
        <v>5467.6144000000004</v>
      </c>
      <c r="O24" s="404">
        <f t="shared" ref="O24:O33" si="16">C24</f>
        <v>4374.0937000000004</v>
      </c>
      <c r="P24" s="370">
        <f>2307.43*1.09</f>
        <v>2515.0987</v>
      </c>
      <c r="Q24" s="413">
        <f t="shared" ref="Q24:Q33" si="17">O24+P24</f>
        <v>6889.1923999999999</v>
      </c>
    </row>
    <row r="25" spans="1:17" x14ac:dyDescent="0.25">
      <c r="A25" s="465"/>
      <c r="B25" s="384">
        <v>1</v>
      </c>
      <c r="C25" s="402">
        <f>3858.58*1.09</f>
        <v>4205.8522000000003</v>
      </c>
      <c r="D25" s="370">
        <v>0</v>
      </c>
      <c r="E25" s="413">
        <f t="shared" si="9"/>
        <v>4205.8522000000003</v>
      </c>
      <c r="F25" s="402">
        <f t="shared" si="10"/>
        <v>4205.8522000000003</v>
      </c>
      <c r="G25" s="370">
        <v>192.93</v>
      </c>
      <c r="H25" s="427">
        <f t="shared" si="11"/>
        <v>4398.7822000000006</v>
      </c>
      <c r="I25" s="402">
        <f t="shared" si="12"/>
        <v>4205.8522000000003</v>
      </c>
      <c r="J25" s="370">
        <f>385.86*1.09</f>
        <v>420.58740000000006</v>
      </c>
      <c r="K25" s="413">
        <f t="shared" si="13"/>
        <v>4626.4396000000006</v>
      </c>
      <c r="L25" s="402">
        <f t="shared" si="14"/>
        <v>4205.8522000000003</v>
      </c>
      <c r="M25" s="370">
        <f>964.65*1.09</f>
        <v>1051.4684999999999</v>
      </c>
      <c r="N25" s="427">
        <f t="shared" si="15"/>
        <v>5257.3207000000002</v>
      </c>
      <c r="O25" s="402">
        <f t="shared" si="16"/>
        <v>4205.8522000000003</v>
      </c>
      <c r="P25" s="370">
        <f>2218.69*1.09</f>
        <v>2418.3721</v>
      </c>
      <c r="Q25" s="413">
        <f t="shared" si="17"/>
        <v>6624.2242999999999</v>
      </c>
    </row>
    <row r="26" spans="1:17" x14ac:dyDescent="0.25">
      <c r="A26" s="465" t="s">
        <v>66</v>
      </c>
      <c r="B26" s="384">
        <v>4</v>
      </c>
      <c r="C26" s="402">
        <f>3086.87*1.09</f>
        <v>3364.6883000000003</v>
      </c>
      <c r="D26" s="370">
        <v>0</v>
      </c>
      <c r="E26" s="413">
        <f t="shared" si="9"/>
        <v>3364.6883000000003</v>
      </c>
      <c r="F26" s="404">
        <f t="shared" si="10"/>
        <v>3364.6883000000003</v>
      </c>
      <c r="G26" s="370">
        <v>154.34</v>
      </c>
      <c r="H26" s="427">
        <f t="shared" si="11"/>
        <v>3519.0283000000004</v>
      </c>
      <c r="I26" s="404">
        <f t="shared" si="12"/>
        <v>3364.6883000000003</v>
      </c>
      <c r="J26" s="370">
        <f>308.69*1.09</f>
        <v>336.47210000000001</v>
      </c>
      <c r="K26" s="413">
        <f t="shared" si="13"/>
        <v>3701.1604000000002</v>
      </c>
      <c r="L26" s="404">
        <f t="shared" si="14"/>
        <v>3364.6883000000003</v>
      </c>
      <c r="M26" s="370">
        <f>771.72*1.09</f>
        <v>841.17480000000012</v>
      </c>
      <c r="N26" s="427">
        <f t="shared" si="15"/>
        <v>4205.8631000000005</v>
      </c>
      <c r="O26" s="404">
        <f t="shared" si="16"/>
        <v>3364.6883000000003</v>
      </c>
      <c r="P26" s="370">
        <f>1774.95*1.09</f>
        <v>1934.6955000000003</v>
      </c>
      <c r="Q26" s="413">
        <f t="shared" si="17"/>
        <v>5299.3838000000005</v>
      </c>
    </row>
    <row r="27" spans="1:17" x14ac:dyDescent="0.25">
      <c r="A27" s="465"/>
      <c r="B27" s="384">
        <v>3</v>
      </c>
      <c r="C27" s="402">
        <f>2968.14*1.09</f>
        <v>3235.2726000000002</v>
      </c>
      <c r="D27" s="370">
        <v>0</v>
      </c>
      <c r="E27" s="413">
        <f t="shared" si="9"/>
        <v>3235.2726000000002</v>
      </c>
      <c r="F27" s="402">
        <f t="shared" si="10"/>
        <v>3235.2726000000002</v>
      </c>
      <c r="G27" s="370">
        <v>148.41</v>
      </c>
      <c r="H27" s="427">
        <f t="shared" si="11"/>
        <v>3383.6826000000001</v>
      </c>
      <c r="I27" s="402">
        <f t="shared" si="12"/>
        <v>3235.2726000000002</v>
      </c>
      <c r="J27" s="370">
        <f>296.81*1.09</f>
        <v>323.52290000000005</v>
      </c>
      <c r="K27" s="413">
        <f t="shared" si="13"/>
        <v>3558.7955000000002</v>
      </c>
      <c r="L27" s="402">
        <f t="shared" si="14"/>
        <v>3235.2726000000002</v>
      </c>
      <c r="M27" s="370">
        <f>742.04*1.09</f>
        <v>808.82360000000006</v>
      </c>
      <c r="N27" s="427">
        <f t="shared" si="15"/>
        <v>4044.0962000000004</v>
      </c>
      <c r="O27" s="402">
        <f t="shared" si="16"/>
        <v>3235.2726000000002</v>
      </c>
      <c r="P27" s="370">
        <f>1706.68*1.09</f>
        <v>1860.2812000000001</v>
      </c>
      <c r="Q27" s="413">
        <f t="shared" si="17"/>
        <v>5095.5538000000006</v>
      </c>
    </row>
    <row r="28" spans="1:17" x14ac:dyDescent="0.25">
      <c r="A28" s="465"/>
      <c r="B28" s="384">
        <v>2</v>
      </c>
      <c r="C28" s="402">
        <f>2853.98*1.09</f>
        <v>3110.8382000000001</v>
      </c>
      <c r="D28" s="370">
        <v>0</v>
      </c>
      <c r="E28" s="413">
        <f t="shared" si="9"/>
        <v>3110.8382000000001</v>
      </c>
      <c r="F28" s="404">
        <f t="shared" si="10"/>
        <v>3110.8382000000001</v>
      </c>
      <c r="G28" s="370">
        <v>142.69999999999999</v>
      </c>
      <c r="H28" s="427">
        <f t="shared" si="11"/>
        <v>3253.5382</v>
      </c>
      <c r="I28" s="404">
        <f t="shared" si="12"/>
        <v>3110.8382000000001</v>
      </c>
      <c r="J28" s="370">
        <f>285.4*1.09</f>
        <v>311.08600000000001</v>
      </c>
      <c r="K28" s="413">
        <f t="shared" si="13"/>
        <v>3421.9242000000004</v>
      </c>
      <c r="L28" s="404">
        <f t="shared" si="14"/>
        <v>3110.8382000000001</v>
      </c>
      <c r="M28" s="370">
        <f>713.5*1.09</f>
        <v>777.71500000000003</v>
      </c>
      <c r="N28" s="427">
        <f t="shared" si="15"/>
        <v>3888.5532000000003</v>
      </c>
      <c r="O28" s="404">
        <f t="shared" si="16"/>
        <v>3110.8382000000001</v>
      </c>
      <c r="P28" s="370">
        <f>1641.04*1.09</f>
        <v>1788.7336</v>
      </c>
      <c r="Q28" s="413">
        <f t="shared" si="17"/>
        <v>4899.5717999999997</v>
      </c>
    </row>
    <row r="29" spans="1:17" x14ac:dyDescent="0.25">
      <c r="A29" s="465"/>
      <c r="B29" s="384">
        <v>1</v>
      </c>
      <c r="C29" s="402">
        <f>2744.21*1.09</f>
        <v>2991.1889000000001</v>
      </c>
      <c r="D29" s="370">
        <v>0</v>
      </c>
      <c r="E29" s="413">
        <f t="shared" si="9"/>
        <v>2991.1889000000001</v>
      </c>
      <c r="F29" s="402">
        <f t="shared" si="10"/>
        <v>2991.1889000000001</v>
      </c>
      <c r="G29" s="370">
        <v>137.21</v>
      </c>
      <c r="H29" s="427">
        <f t="shared" si="11"/>
        <v>3128.3989000000001</v>
      </c>
      <c r="I29" s="402">
        <f t="shared" si="12"/>
        <v>2991.1889000000001</v>
      </c>
      <c r="J29" s="370">
        <f>274.42*1.09</f>
        <v>299.11780000000005</v>
      </c>
      <c r="K29" s="413">
        <f t="shared" si="13"/>
        <v>3290.3067000000001</v>
      </c>
      <c r="L29" s="402">
        <f t="shared" si="14"/>
        <v>2991.1889000000001</v>
      </c>
      <c r="M29" s="370">
        <f>686.05*1.09</f>
        <v>747.79449999999997</v>
      </c>
      <c r="N29" s="427">
        <f t="shared" si="15"/>
        <v>3738.9834000000001</v>
      </c>
      <c r="O29" s="402">
        <f t="shared" si="16"/>
        <v>2991.1889000000001</v>
      </c>
      <c r="P29" s="370">
        <f>1577.92*1.09</f>
        <v>1719.9328000000003</v>
      </c>
      <c r="Q29" s="413">
        <f t="shared" si="17"/>
        <v>4711.1217000000006</v>
      </c>
    </row>
    <row r="30" spans="1:17" x14ac:dyDescent="0.25">
      <c r="A30" s="465" t="s">
        <v>67</v>
      </c>
      <c r="B30" s="384">
        <v>2</v>
      </c>
      <c r="C30" s="402">
        <f>2601.15*1.09</f>
        <v>2835.2535000000003</v>
      </c>
      <c r="D30" s="370">
        <v>0</v>
      </c>
      <c r="E30" s="413">
        <f t="shared" si="9"/>
        <v>2835.2535000000003</v>
      </c>
      <c r="F30" s="404">
        <f t="shared" si="10"/>
        <v>2835.2535000000003</v>
      </c>
      <c r="G30" s="370">
        <v>130.06</v>
      </c>
      <c r="H30" s="427">
        <f t="shared" si="11"/>
        <v>2965.3135000000002</v>
      </c>
      <c r="I30" s="404">
        <f t="shared" si="12"/>
        <v>2835.2535000000003</v>
      </c>
      <c r="J30" s="370">
        <f>260.12*1.09</f>
        <v>283.5308</v>
      </c>
      <c r="K30" s="413">
        <f t="shared" si="13"/>
        <v>3118.7843000000003</v>
      </c>
      <c r="L30" s="404">
        <f t="shared" si="14"/>
        <v>2835.2535000000003</v>
      </c>
      <c r="M30" s="370">
        <f>650.29*1.09</f>
        <v>708.81610000000001</v>
      </c>
      <c r="N30" s="427">
        <f t="shared" si="15"/>
        <v>3544.0696000000003</v>
      </c>
      <c r="O30" s="404">
        <f t="shared" si="16"/>
        <v>2835.2535000000003</v>
      </c>
      <c r="P30" s="370">
        <f>1495.66*1.09</f>
        <v>1630.2694000000001</v>
      </c>
      <c r="Q30" s="413">
        <f t="shared" si="17"/>
        <v>4465.5228999999999</v>
      </c>
    </row>
    <row r="31" spans="1:17" x14ac:dyDescent="0.25">
      <c r="A31" s="465"/>
      <c r="B31" s="384">
        <v>1</v>
      </c>
      <c r="C31" s="402">
        <f>2477.29*1.09</f>
        <v>2700.2461000000003</v>
      </c>
      <c r="D31" s="370">
        <v>0</v>
      </c>
      <c r="E31" s="413">
        <f t="shared" si="9"/>
        <v>2700.2461000000003</v>
      </c>
      <c r="F31" s="402">
        <f t="shared" si="10"/>
        <v>2700.2461000000003</v>
      </c>
      <c r="G31" s="370">
        <v>123.86</v>
      </c>
      <c r="H31" s="427">
        <f t="shared" si="11"/>
        <v>2824.1061000000004</v>
      </c>
      <c r="I31" s="402">
        <f t="shared" si="12"/>
        <v>2700.2461000000003</v>
      </c>
      <c r="J31" s="370">
        <f>247.73*1.09</f>
        <v>270.02570000000003</v>
      </c>
      <c r="K31" s="413">
        <f t="shared" si="13"/>
        <v>2970.2718000000004</v>
      </c>
      <c r="L31" s="402">
        <f t="shared" si="14"/>
        <v>2700.2461000000003</v>
      </c>
      <c r="M31" s="370">
        <f>619.32*1.09</f>
        <v>675.05880000000013</v>
      </c>
      <c r="N31" s="427">
        <f t="shared" si="15"/>
        <v>3375.3049000000005</v>
      </c>
      <c r="O31" s="402">
        <f t="shared" si="16"/>
        <v>2700.2461000000003</v>
      </c>
      <c r="P31" s="370">
        <f>1424.44*1.09</f>
        <v>1552.6396000000002</v>
      </c>
      <c r="Q31" s="413">
        <f t="shared" si="17"/>
        <v>4252.8857000000007</v>
      </c>
    </row>
    <row r="32" spans="1:17" x14ac:dyDescent="0.25">
      <c r="A32" s="465" t="s">
        <v>68</v>
      </c>
      <c r="B32" s="384">
        <v>2</v>
      </c>
      <c r="C32" s="402">
        <f>2348.14*1.09</f>
        <v>2559.4726000000001</v>
      </c>
      <c r="D32" s="370">
        <v>0</v>
      </c>
      <c r="E32" s="413">
        <f t="shared" si="9"/>
        <v>2559.4726000000001</v>
      </c>
      <c r="F32" s="404">
        <f t="shared" si="10"/>
        <v>2559.4726000000001</v>
      </c>
      <c r="G32" s="370">
        <v>117.41</v>
      </c>
      <c r="H32" s="427">
        <f t="shared" si="11"/>
        <v>2676.8825999999999</v>
      </c>
      <c r="I32" s="404">
        <f t="shared" si="12"/>
        <v>2559.4726000000001</v>
      </c>
      <c r="J32" s="370">
        <f>234.81*1.09</f>
        <v>255.94290000000001</v>
      </c>
      <c r="K32" s="413">
        <f t="shared" si="13"/>
        <v>2815.4155000000001</v>
      </c>
      <c r="L32" s="404">
        <f t="shared" si="14"/>
        <v>2559.4726000000001</v>
      </c>
      <c r="M32" s="370">
        <f>587.03*1.09</f>
        <v>639.86270000000002</v>
      </c>
      <c r="N32" s="427">
        <f t="shared" si="15"/>
        <v>3199.3353000000002</v>
      </c>
      <c r="O32" s="404">
        <f t="shared" si="16"/>
        <v>2559.4726000000001</v>
      </c>
      <c r="P32" s="370">
        <f>1350.18*1.09</f>
        <v>1471.6962000000001</v>
      </c>
      <c r="Q32" s="413">
        <f t="shared" si="17"/>
        <v>4031.1688000000004</v>
      </c>
    </row>
    <row r="33" spans="1:17" ht="15.75" thickBot="1" x14ac:dyDescent="0.3">
      <c r="A33" s="466"/>
      <c r="B33" s="392">
        <v>1</v>
      </c>
      <c r="C33" s="402">
        <f>2236.32*1.09</f>
        <v>2437.5888000000004</v>
      </c>
      <c r="D33" s="371">
        <v>0</v>
      </c>
      <c r="E33" s="413">
        <f t="shared" si="9"/>
        <v>2437.5888000000004</v>
      </c>
      <c r="F33" s="402">
        <f t="shared" si="10"/>
        <v>2437.5888000000004</v>
      </c>
      <c r="G33" s="371">
        <v>11.82</v>
      </c>
      <c r="H33" s="427">
        <f t="shared" si="11"/>
        <v>2449.4088000000006</v>
      </c>
      <c r="I33" s="402">
        <f t="shared" si="12"/>
        <v>2437.5888000000004</v>
      </c>
      <c r="J33" s="371">
        <f>223.63*1.09</f>
        <v>243.75670000000002</v>
      </c>
      <c r="K33" s="413">
        <f t="shared" si="13"/>
        <v>2681.3455000000004</v>
      </c>
      <c r="L33" s="402">
        <f t="shared" si="14"/>
        <v>2437.5888000000004</v>
      </c>
      <c r="M33" s="371">
        <f>559.08*1.09</f>
        <v>609.39720000000011</v>
      </c>
      <c r="N33" s="427">
        <f t="shared" si="15"/>
        <v>3046.9860000000008</v>
      </c>
      <c r="O33" s="402">
        <f t="shared" si="16"/>
        <v>2437.5888000000004</v>
      </c>
      <c r="P33" s="371">
        <f>1285.89*1.09</f>
        <v>1401.6201000000003</v>
      </c>
      <c r="Q33" s="413">
        <f t="shared" si="17"/>
        <v>3839.2089000000005</v>
      </c>
    </row>
    <row r="35" spans="1:17" ht="15.75" thickBot="1" x14ac:dyDescent="0.3">
      <c r="A35" s="467" t="s">
        <v>38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</row>
    <row r="36" spans="1:17" ht="15.75" thickBot="1" x14ac:dyDescent="0.3">
      <c r="C36" s="468" t="s">
        <v>57</v>
      </c>
      <c r="D36" s="469"/>
      <c r="E36" s="470"/>
      <c r="F36" s="468" t="s">
        <v>58</v>
      </c>
      <c r="G36" s="469"/>
      <c r="H36" s="469"/>
      <c r="I36" s="468" t="s">
        <v>59</v>
      </c>
      <c r="J36" s="469"/>
      <c r="K36" s="470"/>
      <c r="L36" s="469" t="s">
        <v>60</v>
      </c>
      <c r="M36" s="469"/>
      <c r="N36" s="469"/>
      <c r="O36" s="468" t="s">
        <v>61</v>
      </c>
      <c r="P36" s="469"/>
      <c r="Q36" s="470"/>
    </row>
    <row r="37" spans="1:17" ht="15.75" thickBot="1" x14ac:dyDescent="0.3">
      <c r="A37" s="390" t="s">
        <v>55</v>
      </c>
      <c r="B37" s="391" t="s">
        <v>56</v>
      </c>
      <c r="C37" s="385" t="s">
        <v>62</v>
      </c>
      <c r="D37" s="386" t="s">
        <v>63</v>
      </c>
      <c r="E37" s="387" t="s">
        <v>64</v>
      </c>
      <c r="F37" s="388" t="s">
        <v>62</v>
      </c>
      <c r="G37" s="386" t="s">
        <v>63</v>
      </c>
      <c r="H37" s="389" t="s">
        <v>64</v>
      </c>
      <c r="I37" s="385" t="s">
        <v>62</v>
      </c>
      <c r="J37" s="386" t="s">
        <v>63</v>
      </c>
      <c r="K37" s="387" t="s">
        <v>64</v>
      </c>
      <c r="L37" s="388" t="s">
        <v>62</v>
      </c>
      <c r="M37" s="386" t="s">
        <v>63</v>
      </c>
      <c r="N37" s="389" t="s">
        <v>64</v>
      </c>
      <c r="O37" s="385" t="s">
        <v>62</v>
      </c>
      <c r="P37" s="386" t="s">
        <v>63</v>
      </c>
      <c r="Q37" s="387" t="s">
        <v>64</v>
      </c>
    </row>
    <row r="38" spans="1:17" x14ac:dyDescent="0.25">
      <c r="A38" s="354" t="s">
        <v>24</v>
      </c>
      <c r="B38" s="384">
        <v>1</v>
      </c>
      <c r="C38" s="404"/>
      <c r="D38" s="429"/>
      <c r="E38" s="431"/>
      <c r="F38" s="428"/>
      <c r="G38" s="429"/>
      <c r="H38" s="430"/>
      <c r="I38" s="404"/>
      <c r="J38" s="429"/>
      <c r="K38" s="431"/>
      <c r="L38" s="428"/>
      <c r="M38" s="429"/>
      <c r="N38" s="430"/>
      <c r="O38" s="404">
        <f>9548.84*1.08</f>
        <v>10312.747200000002</v>
      </c>
      <c r="P38" s="429">
        <f>10981.17*1.09</f>
        <v>11969.4753</v>
      </c>
      <c r="Q38" s="431">
        <f>O38+P38</f>
        <v>22282.222500000003</v>
      </c>
    </row>
    <row r="39" spans="1:17" x14ac:dyDescent="0.25">
      <c r="A39" s="465" t="s">
        <v>65</v>
      </c>
      <c r="B39" s="384">
        <v>4</v>
      </c>
      <c r="C39" s="402">
        <f>8680.76*1.09</f>
        <v>9462.0284000000011</v>
      </c>
      <c r="D39" s="370">
        <v>0</v>
      </c>
      <c r="E39" s="413">
        <f>C39+D39</f>
        <v>9462.0284000000011</v>
      </c>
      <c r="F39" s="402">
        <f>C39</f>
        <v>9462.0284000000011</v>
      </c>
      <c r="G39" s="370"/>
      <c r="H39" s="427">
        <f>F39+G39</f>
        <v>9462.0284000000011</v>
      </c>
      <c r="I39" s="402">
        <f>C39</f>
        <v>9462.0284000000011</v>
      </c>
      <c r="J39" s="370">
        <f>434.04*1.09</f>
        <v>473.10360000000009</v>
      </c>
      <c r="K39" s="413">
        <f>I39+J39</f>
        <v>9935.1320000000014</v>
      </c>
      <c r="L39" s="402">
        <f>C39</f>
        <v>9462.0284000000011</v>
      </c>
      <c r="M39" s="370">
        <f>1085.1*1.09</f>
        <v>1182.759</v>
      </c>
      <c r="N39" s="427">
        <f>L39+M39</f>
        <v>10644.787400000001</v>
      </c>
      <c r="O39" s="402">
        <f>C39</f>
        <v>9462.0284000000011</v>
      </c>
      <c r="P39" s="370">
        <f>9982.88*1.09</f>
        <v>10881.3392</v>
      </c>
      <c r="Q39" s="413">
        <f>O39+P39</f>
        <v>20343.367600000001</v>
      </c>
    </row>
    <row r="40" spans="1:17" x14ac:dyDescent="0.25">
      <c r="A40" s="465"/>
      <c r="B40" s="384">
        <v>3</v>
      </c>
      <c r="C40" s="402">
        <f>8346.89*1.09</f>
        <v>9098.1100999999999</v>
      </c>
      <c r="D40" s="370">
        <v>0</v>
      </c>
      <c r="E40" s="413">
        <f>C40+D40</f>
        <v>9098.1100999999999</v>
      </c>
      <c r="F40" s="402">
        <f>C40</f>
        <v>9098.1100999999999</v>
      </c>
      <c r="G40" s="370"/>
      <c r="H40" s="427">
        <f>F40+G40</f>
        <v>9098.1100999999999</v>
      </c>
      <c r="I40" s="402">
        <f>C40</f>
        <v>9098.1100999999999</v>
      </c>
      <c r="J40" s="370">
        <f>417.34*1.09</f>
        <v>454.9006</v>
      </c>
      <c r="K40" s="413">
        <f>I40+J40</f>
        <v>9553.0107000000007</v>
      </c>
      <c r="L40" s="402">
        <f>C40</f>
        <v>9098.1100999999999</v>
      </c>
      <c r="M40" s="370">
        <f>1043.36*1.09</f>
        <v>1137.2624000000001</v>
      </c>
      <c r="N40" s="427">
        <f>L40+M40</f>
        <v>10235.372499999999</v>
      </c>
      <c r="O40" s="402">
        <f>C40</f>
        <v>9098.1100999999999</v>
      </c>
      <c r="P40" s="370">
        <f>9598.92*1.09</f>
        <v>10462.822800000002</v>
      </c>
      <c r="Q40" s="431">
        <f t="shared" ref="Q40:Q50" si="18">O40+P40</f>
        <v>19560.9329</v>
      </c>
    </row>
    <row r="41" spans="1:17" x14ac:dyDescent="0.25">
      <c r="A41" s="465"/>
      <c r="B41" s="384">
        <v>2</v>
      </c>
      <c r="C41" s="402">
        <f>8025.86*1.09</f>
        <v>8748.1874000000007</v>
      </c>
      <c r="D41" s="370">
        <v>0</v>
      </c>
      <c r="E41" s="413">
        <f>C41+D41</f>
        <v>8748.1874000000007</v>
      </c>
      <c r="F41" s="402">
        <f t="shared" ref="F41:F50" si="19">C41</f>
        <v>8748.1874000000007</v>
      </c>
      <c r="G41" s="370"/>
      <c r="H41" s="427">
        <f>F41+G41</f>
        <v>8748.1874000000007</v>
      </c>
      <c r="I41" s="402">
        <f t="shared" ref="I41:I50" si="20">C41</f>
        <v>8748.1874000000007</v>
      </c>
      <c r="J41" s="370">
        <f>401.29*1.09</f>
        <v>437.40610000000004</v>
      </c>
      <c r="K41" s="413">
        <f t="shared" ref="K41:K50" si="21">I41+J41</f>
        <v>9185.5935000000009</v>
      </c>
      <c r="L41" s="402">
        <f t="shared" ref="L41:L50" si="22">C41</f>
        <v>8748.1874000000007</v>
      </c>
      <c r="M41" s="370">
        <f>1003.23*1.09</f>
        <v>1093.5207</v>
      </c>
      <c r="N41" s="427">
        <f t="shared" ref="N41:N50" si="23">L41+M41</f>
        <v>9841.7080999999998</v>
      </c>
      <c r="O41" s="402">
        <f t="shared" ref="O41:O50" si="24">C41</f>
        <v>8748.1874000000007</v>
      </c>
      <c r="P41" s="370">
        <f>9229.73*1.09</f>
        <v>10060.405700000001</v>
      </c>
      <c r="Q41" s="413">
        <f t="shared" si="18"/>
        <v>18808.593100000002</v>
      </c>
    </row>
    <row r="42" spans="1:17" x14ac:dyDescent="0.25">
      <c r="A42" s="465"/>
      <c r="B42" s="384">
        <v>1</v>
      </c>
      <c r="C42" s="402">
        <f>7717.17*1.09</f>
        <v>8411.7152999999998</v>
      </c>
      <c r="D42" s="370">
        <v>0</v>
      </c>
      <c r="E42" s="413">
        <f t="shared" ref="E42:E49" si="25">C42+D42</f>
        <v>8411.7152999999998</v>
      </c>
      <c r="F42" s="402">
        <f t="shared" si="19"/>
        <v>8411.7152999999998</v>
      </c>
      <c r="G42" s="370"/>
      <c r="H42" s="427">
        <f t="shared" ref="H42:H50" si="26">F42+G42</f>
        <v>8411.7152999999998</v>
      </c>
      <c r="I42" s="402">
        <f t="shared" si="20"/>
        <v>8411.7152999999998</v>
      </c>
      <c r="J42" s="370">
        <f>385*1.09</f>
        <v>419.65000000000003</v>
      </c>
      <c r="K42" s="413">
        <f t="shared" si="21"/>
        <v>8831.3652999999995</v>
      </c>
      <c r="L42" s="402">
        <f t="shared" si="22"/>
        <v>8411.7152999999998</v>
      </c>
      <c r="M42" s="370">
        <f>964.65*1.09</f>
        <v>1051.4684999999999</v>
      </c>
      <c r="N42" s="427">
        <f t="shared" si="23"/>
        <v>9463.1837999999989</v>
      </c>
      <c r="O42" s="402">
        <f t="shared" si="24"/>
        <v>8411.7152999999998</v>
      </c>
      <c r="P42" s="370">
        <f>8874.74*1.09</f>
        <v>9673.4665999999997</v>
      </c>
      <c r="Q42" s="431">
        <f t="shared" si="18"/>
        <v>18085.1819</v>
      </c>
    </row>
    <row r="43" spans="1:17" x14ac:dyDescent="0.25">
      <c r="A43" s="465" t="s">
        <v>66</v>
      </c>
      <c r="B43" s="384">
        <v>4</v>
      </c>
      <c r="C43" s="402">
        <f>6173.73*1.09</f>
        <v>6729.3657000000003</v>
      </c>
      <c r="D43" s="370">
        <v>0</v>
      </c>
      <c r="E43" s="413">
        <f t="shared" si="25"/>
        <v>6729.3657000000003</v>
      </c>
      <c r="F43" s="402">
        <f t="shared" si="19"/>
        <v>6729.3657000000003</v>
      </c>
      <c r="G43" s="370"/>
      <c r="H43" s="427">
        <f t="shared" si="26"/>
        <v>6729.3657000000003</v>
      </c>
      <c r="I43" s="402">
        <f t="shared" si="20"/>
        <v>6729.3657000000003</v>
      </c>
      <c r="J43" s="370">
        <f>308.69*1.09</f>
        <v>336.47210000000001</v>
      </c>
      <c r="K43" s="413">
        <f t="shared" si="21"/>
        <v>7065.8378000000002</v>
      </c>
      <c r="L43" s="402">
        <f t="shared" si="22"/>
        <v>6729.3657000000003</v>
      </c>
      <c r="M43" s="370">
        <f>771.72*1.09</f>
        <v>841.17480000000012</v>
      </c>
      <c r="N43" s="427">
        <f t="shared" si="23"/>
        <v>7570.5405000000001</v>
      </c>
      <c r="O43" s="402">
        <f t="shared" si="24"/>
        <v>6729.3657000000003</v>
      </c>
      <c r="P43" s="370">
        <f>7099.79*1.09</f>
        <v>7738.7711000000008</v>
      </c>
      <c r="Q43" s="413">
        <f t="shared" si="18"/>
        <v>14468.1368</v>
      </c>
    </row>
    <row r="44" spans="1:17" x14ac:dyDescent="0.25">
      <c r="A44" s="465"/>
      <c r="B44" s="384">
        <v>3</v>
      </c>
      <c r="C44" s="402">
        <f>5936.28*1.09</f>
        <v>6470.5452000000005</v>
      </c>
      <c r="D44" s="370">
        <v>0</v>
      </c>
      <c r="E44" s="413">
        <f t="shared" si="25"/>
        <v>6470.5452000000005</v>
      </c>
      <c r="F44" s="402">
        <f t="shared" si="19"/>
        <v>6470.5452000000005</v>
      </c>
      <c r="G44" s="370"/>
      <c r="H44" s="427">
        <f t="shared" si="26"/>
        <v>6470.5452000000005</v>
      </c>
      <c r="I44" s="402">
        <f t="shared" si="20"/>
        <v>6470.5452000000005</v>
      </c>
      <c r="J44" s="370">
        <f>296.81*1.09</f>
        <v>323.52290000000005</v>
      </c>
      <c r="K44" s="413">
        <f t="shared" si="21"/>
        <v>6794.0681000000004</v>
      </c>
      <c r="L44" s="402">
        <f t="shared" si="22"/>
        <v>6470.5452000000005</v>
      </c>
      <c r="M44" s="370">
        <f>742.04*1.09</f>
        <v>808.82360000000006</v>
      </c>
      <c r="N44" s="427">
        <f t="shared" si="23"/>
        <v>7279.3688000000002</v>
      </c>
      <c r="O44" s="402">
        <f t="shared" si="24"/>
        <v>6470.5452000000005</v>
      </c>
      <c r="P44" s="370">
        <f>6826*1.09</f>
        <v>7440.34</v>
      </c>
      <c r="Q44" s="431">
        <f t="shared" si="18"/>
        <v>13910.885200000001</v>
      </c>
    </row>
    <row r="45" spans="1:17" x14ac:dyDescent="0.25">
      <c r="A45" s="465"/>
      <c r="B45" s="384">
        <v>2</v>
      </c>
      <c r="C45" s="402">
        <f>5707.96*1.09</f>
        <v>6221.6764000000003</v>
      </c>
      <c r="D45" s="370">
        <v>0</v>
      </c>
      <c r="E45" s="413">
        <f t="shared" si="25"/>
        <v>6221.6764000000003</v>
      </c>
      <c r="F45" s="402">
        <f t="shared" si="19"/>
        <v>6221.6764000000003</v>
      </c>
      <c r="G45" s="370"/>
      <c r="H45" s="427">
        <f t="shared" si="26"/>
        <v>6221.6764000000003</v>
      </c>
      <c r="I45" s="402">
        <f t="shared" si="20"/>
        <v>6221.6764000000003</v>
      </c>
      <c r="J45" s="370">
        <f>285.4*1.09</f>
        <v>311.08600000000001</v>
      </c>
      <c r="K45" s="413">
        <f t="shared" si="21"/>
        <v>6532.7624000000005</v>
      </c>
      <c r="L45" s="402">
        <f t="shared" si="22"/>
        <v>6221.6764000000003</v>
      </c>
      <c r="M45" s="370">
        <f>713.5*1.09</f>
        <v>777.71500000000003</v>
      </c>
      <c r="N45" s="427">
        <f t="shared" si="23"/>
        <v>6999.3914000000004</v>
      </c>
      <c r="O45" s="402">
        <f t="shared" si="24"/>
        <v>6221.6764000000003</v>
      </c>
      <c r="P45" s="370">
        <f>6564.16*1.09</f>
        <v>7154.9344000000001</v>
      </c>
      <c r="Q45" s="413">
        <f t="shared" si="18"/>
        <v>13376.6108</v>
      </c>
    </row>
    <row r="46" spans="1:17" x14ac:dyDescent="0.25">
      <c r="A46" s="465"/>
      <c r="B46" s="384">
        <v>1</v>
      </c>
      <c r="C46" s="402">
        <f>5488.43*1.09</f>
        <v>5982.3887000000004</v>
      </c>
      <c r="D46" s="370">
        <v>0</v>
      </c>
      <c r="E46" s="413">
        <f t="shared" si="25"/>
        <v>5982.3887000000004</v>
      </c>
      <c r="F46" s="402">
        <f t="shared" si="19"/>
        <v>5982.3887000000004</v>
      </c>
      <c r="G46" s="370"/>
      <c r="H46" s="427">
        <f t="shared" si="26"/>
        <v>5982.3887000000004</v>
      </c>
      <c r="I46" s="402">
        <f t="shared" si="20"/>
        <v>5982.3887000000004</v>
      </c>
      <c r="J46" s="370">
        <f>274.42*1.09</f>
        <v>299.11780000000005</v>
      </c>
      <c r="K46" s="413">
        <f t="shared" si="21"/>
        <v>6281.5065000000004</v>
      </c>
      <c r="L46" s="402">
        <f t="shared" si="22"/>
        <v>5982.3887000000004</v>
      </c>
      <c r="M46" s="370">
        <f>686.05*1.09</f>
        <v>747.79449999999997</v>
      </c>
      <c r="N46" s="427">
        <f t="shared" si="23"/>
        <v>6730.1832000000004</v>
      </c>
      <c r="O46" s="402">
        <f t="shared" si="24"/>
        <v>5982.3887000000004</v>
      </c>
      <c r="P46" s="370">
        <f>6311.69*1.09</f>
        <v>6879.7421000000004</v>
      </c>
      <c r="Q46" s="431">
        <f t="shared" si="18"/>
        <v>12862.130800000001</v>
      </c>
    </row>
    <row r="47" spans="1:17" x14ac:dyDescent="0.25">
      <c r="A47" s="465" t="s">
        <v>67</v>
      </c>
      <c r="B47" s="384">
        <v>2</v>
      </c>
      <c r="C47" s="402">
        <f>5202.3*1.09</f>
        <v>5670.5070000000005</v>
      </c>
      <c r="D47" s="370">
        <v>0</v>
      </c>
      <c r="E47" s="413">
        <f t="shared" si="25"/>
        <v>5670.5070000000005</v>
      </c>
      <c r="F47" s="402">
        <f t="shared" si="19"/>
        <v>5670.5070000000005</v>
      </c>
      <c r="G47" s="370"/>
      <c r="H47" s="427">
        <f t="shared" si="26"/>
        <v>5670.5070000000005</v>
      </c>
      <c r="I47" s="402">
        <f t="shared" si="20"/>
        <v>5670.5070000000005</v>
      </c>
      <c r="J47" s="370">
        <f>260.12*1.09</f>
        <v>283.5308</v>
      </c>
      <c r="K47" s="413">
        <f t="shared" si="21"/>
        <v>5954.0378000000001</v>
      </c>
      <c r="L47" s="402">
        <f t="shared" si="22"/>
        <v>5670.5070000000005</v>
      </c>
      <c r="M47" s="370">
        <f>650.29*1.09</f>
        <v>708.81610000000001</v>
      </c>
      <c r="N47" s="427">
        <f t="shared" si="23"/>
        <v>6379.3231000000005</v>
      </c>
      <c r="O47" s="402">
        <f t="shared" si="24"/>
        <v>5670.5070000000005</v>
      </c>
      <c r="P47" s="370">
        <f>5982.65*1.09</f>
        <v>6521.0884999999998</v>
      </c>
      <c r="Q47" s="413">
        <f t="shared" si="18"/>
        <v>12191.595499999999</v>
      </c>
    </row>
    <row r="48" spans="1:17" x14ac:dyDescent="0.25">
      <c r="A48" s="465"/>
      <c r="B48" s="384">
        <v>1</v>
      </c>
      <c r="C48" s="402">
        <f>4954.57*1.09</f>
        <v>5400.4813000000004</v>
      </c>
      <c r="D48" s="370">
        <v>0</v>
      </c>
      <c r="E48" s="413">
        <f t="shared" si="25"/>
        <v>5400.4813000000004</v>
      </c>
      <c r="F48" s="402">
        <f t="shared" si="19"/>
        <v>5400.4813000000004</v>
      </c>
      <c r="G48" s="370"/>
      <c r="H48" s="427">
        <f t="shared" si="26"/>
        <v>5400.4813000000004</v>
      </c>
      <c r="I48" s="402">
        <f t="shared" si="20"/>
        <v>5400.4813000000004</v>
      </c>
      <c r="J48" s="370">
        <f>247.73*1.09</f>
        <v>270.02570000000003</v>
      </c>
      <c r="K48" s="413">
        <f t="shared" si="21"/>
        <v>5670.5070000000005</v>
      </c>
      <c r="L48" s="402">
        <f t="shared" si="22"/>
        <v>5400.4813000000004</v>
      </c>
      <c r="M48" s="370">
        <f>619.32*1.09</f>
        <v>675.05880000000013</v>
      </c>
      <c r="N48" s="427">
        <f t="shared" si="23"/>
        <v>6075.5401000000002</v>
      </c>
      <c r="O48" s="402">
        <f t="shared" si="24"/>
        <v>5400.4813000000004</v>
      </c>
      <c r="P48" s="370">
        <f>5697.76*1.09</f>
        <v>6210.5584000000008</v>
      </c>
      <c r="Q48" s="431">
        <f t="shared" si="18"/>
        <v>11611.039700000001</v>
      </c>
    </row>
    <row r="49" spans="1:17" x14ac:dyDescent="0.25">
      <c r="A49" s="465" t="s">
        <v>68</v>
      </c>
      <c r="B49" s="384">
        <v>2</v>
      </c>
      <c r="C49" s="402">
        <f>4696.28*1.09</f>
        <v>5118.9452000000001</v>
      </c>
      <c r="D49" s="370">
        <v>0</v>
      </c>
      <c r="E49" s="413">
        <f t="shared" si="25"/>
        <v>5118.9452000000001</v>
      </c>
      <c r="F49" s="402">
        <f t="shared" si="19"/>
        <v>5118.9452000000001</v>
      </c>
      <c r="G49" s="370"/>
      <c r="H49" s="427">
        <f t="shared" si="26"/>
        <v>5118.9452000000001</v>
      </c>
      <c r="I49" s="402">
        <f t="shared" si="20"/>
        <v>5118.9452000000001</v>
      </c>
      <c r="J49" s="370">
        <f>234.81*1.09</f>
        <v>255.94290000000001</v>
      </c>
      <c r="K49" s="413">
        <f t="shared" si="21"/>
        <v>5374.8881000000001</v>
      </c>
      <c r="L49" s="402">
        <f t="shared" si="22"/>
        <v>5118.9452000000001</v>
      </c>
      <c r="M49" s="370">
        <f>587.03*1.09</f>
        <v>639.86270000000002</v>
      </c>
      <c r="N49" s="427">
        <f t="shared" si="23"/>
        <v>5758.8078999999998</v>
      </c>
      <c r="O49" s="402">
        <f t="shared" si="24"/>
        <v>5118.9452000000001</v>
      </c>
      <c r="P49" s="370">
        <f>5400.72*1.09</f>
        <v>5886.7848000000004</v>
      </c>
      <c r="Q49" s="413">
        <f t="shared" si="18"/>
        <v>11005.73</v>
      </c>
    </row>
    <row r="50" spans="1:17" ht="15.75" thickBot="1" x14ac:dyDescent="0.3">
      <c r="A50" s="466"/>
      <c r="B50" s="392">
        <v>1</v>
      </c>
      <c r="C50" s="403">
        <f>4472.64*1.09</f>
        <v>4875.1776000000009</v>
      </c>
      <c r="D50" s="371">
        <v>0</v>
      </c>
      <c r="E50" s="413">
        <f t="shared" ref="E50" si="27">C50+D50</f>
        <v>4875.1776000000009</v>
      </c>
      <c r="F50" s="402">
        <f t="shared" si="19"/>
        <v>4875.1776000000009</v>
      </c>
      <c r="G50" s="371"/>
      <c r="H50" s="427">
        <f t="shared" si="26"/>
        <v>4875.1776000000009</v>
      </c>
      <c r="I50" s="402">
        <f t="shared" si="20"/>
        <v>4875.1776000000009</v>
      </c>
      <c r="J50" s="371">
        <f>223.63*1.09</f>
        <v>243.75670000000002</v>
      </c>
      <c r="K50" s="413">
        <f t="shared" si="21"/>
        <v>5118.9343000000008</v>
      </c>
      <c r="L50" s="402">
        <f t="shared" si="22"/>
        <v>4875.1776000000009</v>
      </c>
      <c r="M50" s="371">
        <f>559.08*1.09</f>
        <v>609.39720000000011</v>
      </c>
      <c r="N50" s="427">
        <f t="shared" si="23"/>
        <v>5484.5748000000012</v>
      </c>
      <c r="O50" s="402">
        <f t="shared" si="24"/>
        <v>4875.1776000000009</v>
      </c>
      <c r="P50" s="371">
        <f>5143.54*1.09</f>
        <v>5606.4585999999999</v>
      </c>
      <c r="Q50" s="431">
        <f t="shared" si="18"/>
        <v>10481.636200000001</v>
      </c>
    </row>
  </sheetData>
  <mergeCells count="30">
    <mergeCell ref="A6:A9"/>
    <mergeCell ref="A2:R2"/>
    <mergeCell ref="C3:E3"/>
    <mergeCell ref="F3:H3"/>
    <mergeCell ref="I3:K3"/>
    <mergeCell ref="L3:N3"/>
    <mergeCell ref="O3:Q3"/>
    <mergeCell ref="A32:A33"/>
    <mergeCell ref="A10:A13"/>
    <mergeCell ref="A14:A15"/>
    <mergeCell ref="A16:A17"/>
    <mergeCell ref="C19:E19"/>
    <mergeCell ref="B18:Q18"/>
    <mergeCell ref="L19:N19"/>
    <mergeCell ref="O19:Q19"/>
    <mergeCell ref="A22:A25"/>
    <mergeCell ref="A26:A29"/>
    <mergeCell ref="A30:A31"/>
    <mergeCell ref="F19:H19"/>
    <mergeCell ref="I19:K19"/>
    <mergeCell ref="A43:A46"/>
    <mergeCell ref="A47:A48"/>
    <mergeCell ref="A49:A50"/>
    <mergeCell ref="A35:Q35"/>
    <mergeCell ref="C36:E36"/>
    <mergeCell ref="F36:H36"/>
    <mergeCell ref="I36:K36"/>
    <mergeCell ref="L36:N36"/>
    <mergeCell ref="O36:Q36"/>
    <mergeCell ref="A39:A42"/>
  </mergeCells>
  <pageMargins left="0.51181102362204722" right="0.51181102362204722" top="0.78740157480314965" bottom="0.78740157480314965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Y22"/>
  <sheetViews>
    <sheetView workbookViewId="0">
      <selection activeCell="Y13" sqref="Y13"/>
    </sheetView>
  </sheetViews>
  <sheetFormatPr defaultRowHeight="15" x14ac:dyDescent="0.25"/>
  <cols>
    <col min="1" max="3" width="6.7109375" customWidth="1"/>
    <col min="4" max="13" width="4.7109375" customWidth="1"/>
    <col min="14" max="14" width="7.5703125" customWidth="1"/>
    <col min="15" max="15" width="9.140625" hidden="1" customWidth="1"/>
    <col min="16" max="16" width="4.7109375" hidden="1" customWidth="1"/>
    <col min="17" max="17" width="9.140625" hidden="1" customWidth="1"/>
    <col min="18" max="18" width="6.28515625" customWidth="1"/>
    <col min="19" max="19" width="8.85546875" customWidth="1"/>
    <col min="20" max="20" width="9.140625" hidden="1" customWidth="1"/>
    <col min="21" max="21" width="0.140625" customWidth="1"/>
  </cols>
  <sheetData>
    <row r="3" spans="1:25" ht="15.75" x14ac:dyDescent="0.25">
      <c r="A3" s="478" t="s">
        <v>19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</row>
    <row r="4" spans="1:25" ht="15.75" thickBot="1" x14ac:dyDescent="0.3">
      <c r="A4" s="467"/>
      <c r="B4" s="467"/>
      <c r="D4" s="475"/>
      <c r="E4" s="475"/>
      <c r="F4" s="475"/>
    </row>
    <row r="5" spans="1:25" ht="15.75" x14ac:dyDescent="0.25">
      <c r="A5" s="480" t="s">
        <v>22</v>
      </c>
      <c r="B5" s="481"/>
      <c r="C5" s="481"/>
      <c r="D5" s="481"/>
      <c r="E5" s="481"/>
      <c r="F5" s="481"/>
      <c r="G5" s="481"/>
      <c r="H5" s="482"/>
      <c r="I5" s="483" t="s">
        <v>23</v>
      </c>
      <c r="J5" s="484"/>
      <c r="K5" s="484"/>
      <c r="L5" s="484"/>
      <c r="M5" s="484"/>
      <c r="N5" s="484"/>
      <c r="O5" s="484"/>
      <c r="P5" s="484"/>
      <c r="Q5" s="484"/>
      <c r="R5" s="485"/>
      <c r="S5" s="87"/>
    </row>
    <row r="6" spans="1:25" ht="15.75" x14ac:dyDescent="0.25">
      <c r="A6" s="479" t="s">
        <v>20</v>
      </c>
      <c r="B6" s="476"/>
      <c r="C6" s="476"/>
      <c r="D6" s="476" t="s">
        <v>21</v>
      </c>
      <c r="E6" s="476"/>
      <c r="F6" s="476"/>
      <c r="H6" s="99"/>
      <c r="I6" s="477" t="s">
        <v>20</v>
      </c>
      <c r="J6" s="478"/>
      <c r="K6" s="478"/>
      <c r="L6" s="87"/>
      <c r="M6" s="87"/>
      <c r="N6" s="87" t="s">
        <v>21</v>
      </c>
      <c r="O6" s="87"/>
      <c r="P6" s="87"/>
      <c r="R6" s="88"/>
    </row>
    <row r="7" spans="1:25" ht="15.75" x14ac:dyDescent="0.25">
      <c r="A7" s="86">
        <v>16</v>
      </c>
      <c r="B7" s="478"/>
      <c r="C7" s="478"/>
      <c r="D7" s="476">
        <v>13</v>
      </c>
      <c r="E7" s="476"/>
      <c r="F7" s="476"/>
      <c r="H7" s="88"/>
      <c r="I7" s="477" t="s">
        <v>24</v>
      </c>
      <c r="J7" s="478"/>
      <c r="K7" s="478"/>
      <c r="L7" s="87"/>
      <c r="M7" s="87"/>
      <c r="N7" s="478">
        <v>13</v>
      </c>
      <c r="O7" s="478"/>
      <c r="P7" s="478"/>
      <c r="R7" s="88"/>
    </row>
    <row r="8" spans="1:25" ht="15.75" x14ac:dyDescent="0.25">
      <c r="A8" s="86">
        <v>15</v>
      </c>
      <c r="B8" s="97"/>
      <c r="C8" s="97"/>
      <c r="D8" s="476">
        <v>12</v>
      </c>
      <c r="E8" s="476"/>
      <c r="F8" s="476"/>
      <c r="H8" s="88"/>
      <c r="I8" s="477" t="s">
        <v>25</v>
      </c>
      <c r="J8" s="478"/>
      <c r="K8" s="478"/>
      <c r="L8" s="87"/>
      <c r="M8" s="87"/>
      <c r="N8" s="478">
        <v>12</v>
      </c>
      <c r="O8" s="478"/>
      <c r="P8" s="478"/>
      <c r="R8" s="88"/>
    </row>
    <row r="9" spans="1:25" ht="15.75" x14ac:dyDescent="0.25">
      <c r="A9" s="86">
        <v>14</v>
      </c>
      <c r="B9" s="97"/>
      <c r="C9" s="97"/>
      <c r="D9" s="476">
        <v>11</v>
      </c>
      <c r="E9" s="476"/>
      <c r="F9" s="476"/>
      <c r="H9" s="88"/>
      <c r="I9" s="477" t="s">
        <v>26</v>
      </c>
      <c r="J9" s="478"/>
      <c r="K9" s="478"/>
      <c r="L9" s="87"/>
      <c r="M9" s="87"/>
      <c r="N9" s="478">
        <v>11</v>
      </c>
      <c r="O9" s="478"/>
      <c r="P9" s="478"/>
      <c r="R9" s="88"/>
    </row>
    <row r="10" spans="1:25" ht="15.75" x14ac:dyDescent="0.25">
      <c r="A10" s="86">
        <v>13</v>
      </c>
      <c r="B10" s="97"/>
      <c r="C10" s="97"/>
      <c r="D10" s="476">
        <v>10</v>
      </c>
      <c r="E10" s="476"/>
      <c r="F10" s="476"/>
      <c r="H10" s="88"/>
      <c r="I10" s="477" t="s">
        <v>27</v>
      </c>
      <c r="J10" s="478"/>
      <c r="K10" s="478"/>
      <c r="L10" s="87"/>
      <c r="M10" s="87"/>
      <c r="N10" s="478">
        <v>10</v>
      </c>
      <c r="O10" s="478"/>
      <c r="P10" s="478"/>
      <c r="R10" s="88"/>
    </row>
    <row r="11" spans="1:25" ht="15.75" x14ac:dyDescent="0.25">
      <c r="A11" s="86">
        <v>12</v>
      </c>
      <c r="B11" s="97"/>
      <c r="C11" s="97"/>
      <c r="D11" s="476">
        <v>9</v>
      </c>
      <c r="E11" s="476"/>
      <c r="F11" s="476"/>
      <c r="H11" s="88"/>
      <c r="I11" s="477" t="s">
        <v>28</v>
      </c>
      <c r="J11" s="478"/>
      <c r="K11" s="478"/>
      <c r="L11" s="87"/>
      <c r="M11" s="87"/>
      <c r="N11" s="478">
        <v>9</v>
      </c>
      <c r="O11" s="478"/>
      <c r="P11" s="478"/>
      <c r="R11" s="88"/>
    </row>
    <row r="12" spans="1:25" ht="15.75" x14ac:dyDescent="0.25">
      <c r="A12" s="86">
        <v>11</v>
      </c>
      <c r="B12" s="97"/>
      <c r="C12" s="97"/>
      <c r="D12" s="476">
        <v>8</v>
      </c>
      <c r="E12" s="476"/>
      <c r="F12" s="476"/>
      <c r="H12" s="88"/>
      <c r="I12" s="477" t="s">
        <v>29</v>
      </c>
      <c r="J12" s="478"/>
      <c r="K12" s="478"/>
      <c r="L12" s="87"/>
      <c r="M12" s="87"/>
      <c r="N12" s="478">
        <v>8</v>
      </c>
      <c r="O12" s="478"/>
      <c r="P12" s="478"/>
      <c r="R12" s="88"/>
    </row>
    <row r="13" spans="1:25" ht="15.75" x14ac:dyDescent="0.25">
      <c r="A13" s="86">
        <v>10</v>
      </c>
      <c r="B13" s="97"/>
      <c r="C13" s="97"/>
      <c r="D13" s="476">
        <v>7</v>
      </c>
      <c r="E13" s="476"/>
      <c r="F13" s="476"/>
      <c r="H13" s="88"/>
      <c r="I13" s="477" t="s">
        <v>30</v>
      </c>
      <c r="J13" s="478"/>
      <c r="K13" s="478"/>
      <c r="L13" s="87"/>
      <c r="M13" s="87"/>
      <c r="N13" s="478">
        <v>7</v>
      </c>
      <c r="O13" s="478"/>
      <c r="P13" s="478"/>
      <c r="R13" s="88"/>
      <c r="Y13" s="235"/>
    </row>
    <row r="14" spans="1:25" ht="15.75" x14ac:dyDescent="0.25">
      <c r="A14" s="86">
        <v>9</v>
      </c>
      <c r="B14" s="97"/>
      <c r="C14" s="97"/>
      <c r="D14" s="476">
        <v>6</v>
      </c>
      <c r="E14" s="476"/>
      <c r="F14" s="476"/>
      <c r="H14" s="88"/>
      <c r="I14" s="477" t="s">
        <v>31</v>
      </c>
      <c r="J14" s="478"/>
      <c r="K14" s="478"/>
      <c r="L14" s="87"/>
      <c r="M14" s="87"/>
      <c r="N14" s="478">
        <v>6</v>
      </c>
      <c r="O14" s="478"/>
      <c r="P14" s="478"/>
      <c r="R14" s="88"/>
    </row>
    <row r="15" spans="1:25" ht="15.75" x14ac:dyDescent="0.25">
      <c r="A15" s="86">
        <v>8</v>
      </c>
      <c r="B15" s="97"/>
      <c r="C15" s="97"/>
      <c r="D15" s="476">
        <v>5</v>
      </c>
      <c r="E15" s="476"/>
      <c r="F15" s="476"/>
      <c r="H15" s="88"/>
      <c r="I15" s="477" t="s">
        <v>32</v>
      </c>
      <c r="J15" s="478"/>
      <c r="K15" s="478"/>
      <c r="L15" s="87"/>
      <c r="M15" s="87"/>
      <c r="N15" s="478">
        <v>5</v>
      </c>
      <c r="O15" s="478"/>
      <c r="P15" s="478"/>
      <c r="R15" s="88"/>
    </row>
    <row r="16" spans="1:25" ht="15.75" x14ac:dyDescent="0.25">
      <c r="A16" s="86">
        <v>7</v>
      </c>
      <c r="B16" s="97"/>
      <c r="C16" s="97"/>
      <c r="D16" s="476">
        <v>4</v>
      </c>
      <c r="E16" s="476"/>
      <c r="F16" s="476"/>
      <c r="H16" s="88"/>
      <c r="I16" s="477" t="s">
        <v>33</v>
      </c>
      <c r="J16" s="478"/>
      <c r="K16" s="478"/>
      <c r="L16" s="87"/>
      <c r="M16" s="87"/>
      <c r="N16" s="478">
        <v>4</v>
      </c>
      <c r="O16" s="478"/>
      <c r="P16" s="478"/>
      <c r="R16" s="88"/>
    </row>
    <row r="17" spans="1:18" ht="15.75" x14ac:dyDescent="0.25">
      <c r="A17" s="86">
        <v>6</v>
      </c>
      <c r="B17" s="97"/>
      <c r="C17" s="97"/>
      <c r="D17" s="476">
        <v>3</v>
      </c>
      <c r="E17" s="476"/>
      <c r="F17" s="476"/>
      <c r="H17" s="88"/>
      <c r="I17" s="477" t="s">
        <v>34</v>
      </c>
      <c r="J17" s="478"/>
      <c r="K17" s="478"/>
      <c r="L17" s="87"/>
      <c r="M17" s="87"/>
      <c r="N17" s="478">
        <v>3</v>
      </c>
      <c r="O17" s="478"/>
      <c r="P17" s="478"/>
      <c r="R17" s="88"/>
    </row>
    <row r="18" spans="1:18" ht="15.75" x14ac:dyDescent="0.25">
      <c r="A18" s="86">
        <v>5</v>
      </c>
      <c r="B18" s="97"/>
      <c r="C18" s="97"/>
      <c r="D18" s="476">
        <v>2</v>
      </c>
      <c r="E18" s="476"/>
      <c r="F18" s="476"/>
      <c r="H18" s="88"/>
      <c r="I18" s="477" t="s">
        <v>35</v>
      </c>
      <c r="J18" s="478"/>
      <c r="K18" s="478"/>
      <c r="L18" s="87"/>
      <c r="M18" s="87"/>
      <c r="N18" s="478">
        <v>2</v>
      </c>
      <c r="O18" s="478"/>
      <c r="P18" s="478"/>
      <c r="R18" s="88"/>
    </row>
    <row r="19" spans="1:18" ht="15.75" x14ac:dyDescent="0.25">
      <c r="A19" s="86">
        <v>4</v>
      </c>
      <c r="B19" s="97"/>
      <c r="C19" s="97"/>
      <c r="D19" s="476">
        <v>1</v>
      </c>
      <c r="E19" s="476"/>
      <c r="F19" s="476"/>
      <c r="H19" s="88"/>
      <c r="I19" s="477" t="s">
        <v>36</v>
      </c>
      <c r="J19" s="478"/>
      <c r="K19" s="478"/>
      <c r="L19" s="87"/>
      <c r="M19" s="87"/>
      <c r="N19" s="478">
        <v>1</v>
      </c>
      <c r="O19" s="478"/>
      <c r="P19" s="478"/>
      <c r="R19" s="88"/>
    </row>
    <row r="20" spans="1:18" ht="15.75" x14ac:dyDescent="0.25">
      <c r="A20" s="86">
        <v>3</v>
      </c>
      <c r="B20" s="97"/>
      <c r="C20" s="97"/>
      <c r="D20" s="87"/>
      <c r="H20" s="88"/>
      <c r="I20" s="94"/>
      <c r="R20" s="88"/>
    </row>
    <row r="21" spans="1:18" ht="15.75" x14ac:dyDescent="0.25">
      <c r="A21" s="86">
        <v>2</v>
      </c>
      <c r="B21" s="97"/>
      <c r="C21" s="97"/>
      <c r="D21" s="87"/>
      <c r="H21" s="88"/>
      <c r="I21" s="94"/>
      <c r="R21" s="88"/>
    </row>
    <row r="22" spans="1:18" ht="16.5" thickBot="1" x14ac:dyDescent="0.3">
      <c r="A22" s="89">
        <v>1</v>
      </c>
      <c r="B22" s="90"/>
      <c r="C22" s="90"/>
      <c r="D22" s="91"/>
      <c r="E22" s="92"/>
      <c r="F22" s="92"/>
      <c r="G22" s="92"/>
      <c r="H22" s="93"/>
      <c r="I22" s="95"/>
      <c r="J22" s="92"/>
      <c r="K22" s="92"/>
      <c r="L22" s="92"/>
      <c r="M22" s="92"/>
      <c r="N22" s="92"/>
      <c r="O22" s="92"/>
      <c r="P22" s="92"/>
      <c r="Q22" s="92"/>
      <c r="R22" s="93"/>
    </row>
  </sheetData>
  <mergeCells count="48">
    <mergeCell ref="D6:F6"/>
    <mergeCell ref="I6:K6"/>
    <mergeCell ref="A3:U3"/>
    <mergeCell ref="A4:B4"/>
    <mergeCell ref="D4:F4"/>
    <mergeCell ref="A5:H5"/>
    <mergeCell ref="I5:R5"/>
    <mergeCell ref="B7:C7"/>
    <mergeCell ref="D7:F7"/>
    <mergeCell ref="I7:K7"/>
    <mergeCell ref="N7:P7"/>
    <mergeCell ref="D8:F8"/>
    <mergeCell ref="I8:K8"/>
    <mergeCell ref="N8:P8"/>
    <mergeCell ref="D9:F9"/>
    <mergeCell ref="I9:K9"/>
    <mergeCell ref="N9:P9"/>
    <mergeCell ref="D10:F10"/>
    <mergeCell ref="I10:K10"/>
    <mergeCell ref="N10:P10"/>
    <mergeCell ref="D11:F11"/>
    <mergeCell ref="I11:K11"/>
    <mergeCell ref="N11:P11"/>
    <mergeCell ref="D12:F12"/>
    <mergeCell ref="I12:K12"/>
    <mergeCell ref="N12:P12"/>
    <mergeCell ref="D13:F13"/>
    <mergeCell ref="I13:K13"/>
    <mergeCell ref="N13:P13"/>
    <mergeCell ref="D14:F14"/>
    <mergeCell ref="I14:K14"/>
    <mergeCell ref="N14:P14"/>
    <mergeCell ref="D19:F19"/>
    <mergeCell ref="I19:K19"/>
    <mergeCell ref="N19:P19"/>
    <mergeCell ref="A6:C6"/>
    <mergeCell ref="D17:F17"/>
    <mergeCell ref="I17:K17"/>
    <mergeCell ref="N17:P17"/>
    <mergeCell ref="D18:F18"/>
    <mergeCell ref="I18:K18"/>
    <mergeCell ref="N18:P18"/>
    <mergeCell ref="D15:F15"/>
    <mergeCell ref="I15:K15"/>
    <mergeCell ref="N15:P15"/>
    <mergeCell ref="D16:F16"/>
    <mergeCell ref="I16:K16"/>
    <mergeCell ref="N16:P16"/>
  </mergeCells>
  <pageMargins left="0.31496062992125984" right="0.31496062992125984" top="0.39370078740157483" bottom="0.39370078740157483" header="0" footer="0"/>
  <pageSetup paperSize="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12" workbookViewId="0">
      <selection activeCell="Z22" sqref="Z22"/>
    </sheetView>
  </sheetViews>
  <sheetFormatPr defaultRowHeight="15" x14ac:dyDescent="0.25"/>
  <cols>
    <col min="1" max="1" width="7.7109375" customWidth="1"/>
    <col min="2" max="21" width="3.7109375" customWidth="1"/>
  </cols>
  <sheetData>
    <row r="1" spans="2:21" ht="15.75" x14ac:dyDescent="0.25">
      <c r="B1" s="236"/>
      <c r="C1" s="478" t="s">
        <v>18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</row>
    <row r="2" spans="2:21" ht="15.75" thickBot="1" x14ac:dyDescent="0.3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</row>
    <row r="3" spans="2:21" ht="15.75" thickBot="1" x14ac:dyDescent="0.3">
      <c r="B3" s="486" t="s">
        <v>1</v>
      </c>
      <c r="C3" s="487"/>
      <c r="D3" s="487"/>
      <c r="E3" s="487"/>
      <c r="F3" s="488" t="s">
        <v>2</v>
      </c>
      <c r="G3" s="488"/>
      <c r="H3" s="488"/>
      <c r="I3" s="488"/>
      <c r="J3" s="489" t="s">
        <v>3</v>
      </c>
      <c r="K3" s="490"/>
      <c r="L3" s="490"/>
      <c r="M3" s="491"/>
      <c r="N3" s="492" t="s">
        <v>4</v>
      </c>
      <c r="O3" s="493"/>
      <c r="P3" s="493"/>
      <c r="Q3" s="493"/>
      <c r="R3" s="494" t="s">
        <v>5</v>
      </c>
      <c r="S3" s="494"/>
      <c r="T3" s="494"/>
      <c r="U3" s="495"/>
    </row>
    <row r="4" spans="2:21" ht="15.75" thickBot="1" x14ac:dyDescent="0.3">
      <c r="B4" s="23" t="s">
        <v>6</v>
      </c>
      <c r="C4" s="24" t="s">
        <v>7</v>
      </c>
      <c r="D4" s="24" t="s">
        <v>8</v>
      </c>
      <c r="E4" s="25" t="s">
        <v>9</v>
      </c>
      <c r="F4" s="26" t="s">
        <v>6</v>
      </c>
      <c r="G4" s="27" t="s">
        <v>7</v>
      </c>
      <c r="H4" s="27" t="s">
        <v>8</v>
      </c>
      <c r="I4" s="28" t="s">
        <v>9</v>
      </c>
      <c r="J4" s="79" t="s">
        <v>6</v>
      </c>
      <c r="K4" s="29" t="s">
        <v>7</v>
      </c>
      <c r="L4" s="29" t="s">
        <v>8</v>
      </c>
      <c r="M4" s="80" t="s">
        <v>9</v>
      </c>
      <c r="N4" s="78" t="s">
        <v>6</v>
      </c>
      <c r="O4" s="30" t="s">
        <v>7</v>
      </c>
      <c r="P4" s="30" t="s">
        <v>8</v>
      </c>
      <c r="Q4" s="31" t="s">
        <v>9</v>
      </c>
      <c r="R4" s="32" t="s">
        <v>6</v>
      </c>
      <c r="S4" s="33" t="s">
        <v>7</v>
      </c>
      <c r="T4" s="33" t="s">
        <v>8</v>
      </c>
      <c r="U4" s="34" t="s">
        <v>9</v>
      </c>
    </row>
    <row r="5" spans="2:21" x14ac:dyDescent="0.25">
      <c r="B5" s="35"/>
      <c r="C5" s="18"/>
      <c r="D5" s="18"/>
      <c r="E5" s="43"/>
      <c r="F5" s="59"/>
      <c r="G5" s="60"/>
      <c r="H5" s="60"/>
      <c r="I5" s="73"/>
      <c r="J5" s="81"/>
      <c r="K5" s="61"/>
      <c r="L5" s="61"/>
      <c r="M5" s="62"/>
      <c r="N5" s="47"/>
      <c r="O5" s="10"/>
      <c r="P5" s="10"/>
      <c r="Q5" s="11"/>
      <c r="R5" s="12"/>
      <c r="S5" s="13"/>
      <c r="T5" s="13"/>
      <c r="U5" s="36">
        <v>13</v>
      </c>
    </row>
    <row r="6" spans="2:21" x14ac:dyDescent="0.25">
      <c r="B6" s="37"/>
      <c r="C6" s="19"/>
      <c r="D6" s="19"/>
      <c r="E6" s="44"/>
      <c r="F6" s="63"/>
      <c r="G6" s="51"/>
      <c r="H6" s="51"/>
      <c r="I6" s="74"/>
      <c r="J6" s="82"/>
      <c r="K6" s="52"/>
      <c r="L6" s="52"/>
      <c r="M6" s="64"/>
      <c r="N6" s="48"/>
      <c r="O6" s="1"/>
      <c r="P6" s="1"/>
      <c r="Q6" s="2"/>
      <c r="R6" s="3"/>
      <c r="S6" s="4"/>
      <c r="T6" s="4">
        <v>13</v>
      </c>
      <c r="U6" s="38">
        <v>12</v>
      </c>
    </row>
    <row r="7" spans="2:21" x14ac:dyDescent="0.25">
      <c r="B7" s="37"/>
      <c r="C7" s="19"/>
      <c r="D7" s="19"/>
      <c r="E7" s="44"/>
      <c r="F7" s="65"/>
      <c r="G7" s="53"/>
      <c r="H7" s="53"/>
      <c r="I7" s="75"/>
      <c r="J7" s="83"/>
      <c r="K7" s="54"/>
      <c r="L7" s="54"/>
      <c r="M7" s="66"/>
      <c r="N7" s="48"/>
      <c r="O7" s="1"/>
      <c r="P7" s="1"/>
      <c r="Q7" s="2"/>
      <c r="R7" s="3"/>
      <c r="S7" s="4">
        <v>13</v>
      </c>
      <c r="T7" s="4">
        <v>12</v>
      </c>
      <c r="U7" s="38">
        <v>11</v>
      </c>
    </row>
    <row r="8" spans="2:21" x14ac:dyDescent="0.25">
      <c r="B8" s="37"/>
      <c r="C8" s="19"/>
      <c r="D8" s="19"/>
      <c r="E8" s="44"/>
      <c r="F8" s="67"/>
      <c r="G8" s="55"/>
      <c r="H8" s="55"/>
      <c r="I8" s="76"/>
      <c r="J8" s="84"/>
      <c r="K8" s="56"/>
      <c r="L8" s="56"/>
      <c r="M8" s="68"/>
      <c r="N8" s="48"/>
      <c r="O8" s="1"/>
      <c r="P8" s="1"/>
      <c r="Q8" s="2"/>
      <c r="R8" s="3">
        <v>13</v>
      </c>
      <c r="S8" s="4">
        <v>12</v>
      </c>
      <c r="T8" s="4">
        <v>11</v>
      </c>
      <c r="U8" s="38">
        <v>10</v>
      </c>
    </row>
    <row r="9" spans="2:21" x14ac:dyDescent="0.25">
      <c r="B9" s="37"/>
      <c r="C9" s="19"/>
      <c r="D9" s="19"/>
      <c r="E9" s="44"/>
      <c r="F9" s="63"/>
      <c r="G9" s="51"/>
      <c r="H9" s="51"/>
      <c r="I9" s="74"/>
      <c r="J9" s="82"/>
      <c r="K9" s="52"/>
      <c r="L9" s="52"/>
      <c r="M9" s="64"/>
      <c r="N9" s="48"/>
      <c r="O9" s="1"/>
      <c r="P9" s="1"/>
      <c r="Q9" s="2"/>
      <c r="R9" s="3">
        <v>12</v>
      </c>
      <c r="S9" s="4">
        <v>11</v>
      </c>
      <c r="T9" s="4">
        <v>10</v>
      </c>
      <c r="U9" s="38">
        <v>9</v>
      </c>
    </row>
    <row r="10" spans="2:21" x14ac:dyDescent="0.25">
      <c r="B10" s="37"/>
      <c r="C10" s="19"/>
      <c r="D10" s="19"/>
      <c r="E10" s="44"/>
      <c r="F10" s="63"/>
      <c r="G10" s="51"/>
      <c r="H10" s="57"/>
      <c r="I10" s="74"/>
      <c r="J10" s="82"/>
      <c r="K10" s="52"/>
      <c r="L10" s="58"/>
      <c r="M10" s="64"/>
      <c r="N10" s="48"/>
      <c r="O10" s="1"/>
      <c r="P10" s="1"/>
      <c r="Q10" s="2"/>
      <c r="R10" s="3">
        <v>11</v>
      </c>
      <c r="S10" s="4">
        <v>10</v>
      </c>
      <c r="T10" s="4">
        <v>9</v>
      </c>
      <c r="U10" s="38">
        <v>8</v>
      </c>
    </row>
    <row r="11" spans="2:21" x14ac:dyDescent="0.25">
      <c r="B11" s="37"/>
      <c r="C11" s="19"/>
      <c r="D11" s="19"/>
      <c r="E11" s="44"/>
      <c r="F11" s="63"/>
      <c r="G11" s="51"/>
      <c r="H11" s="51"/>
      <c r="I11" s="74"/>
      <c r="J11" s="82"/>
      <c r="K11" s="52"/>
      <c r="L11" s="52"/>
      <c r="M11" s="64"/>
      <c r="N11" s="48"/>
      <c r="O11" s="1"/>
      <c r="P11" s="1"/>
      <c r="Q11" s="2">
        <v>13</v>
      </c>
      <c r="R11" s="3">
        <v>10</v>
      </c>
      <c r="S11" s="4">
        <v>9</v>
      </c>
      <c r="T11" s="4">
        <v>8</v>
      </c>
      <c r="U11" s="38">
        <v>7</v>
      </c>
    </row>
    <row r="12" spans="2:21" x14ac:dyDescent="0.25">
      <c r="B12" s="37"/>
      <c r="C12" s="19"/>
      <c r="D12" s="19"/>
      <c r="E12" s="44"/>
      <c r="F12" s="63"/>
      <c r="G12" s="51"/>
      <c r="H12" s="51"/>
      <c r="I12" s="74"/>
      <c r="J12" s="82"/>
      <c r="K12" s="52"/>
      <c r="L12" s="52"/>
      <c r="M12" s="64"/>
      <c r="N12" s="48"/>
      <c r="O12" s="1"/>
      <c r="P12" s="1">
        <v>13</v>
      </c>
      <c r="Q12" s="2">
        <v>12</v>
      </c>
      <c r="R12" s="3">
        <v>9</v>
      </c>
      <c r="S12" s="4">
        <v>8</v>
      </c>
      <c r="T12" s="4">
        <v>7</v>
      </c>
      <c r="U12" s="38">
        <v>6</v>
      </c>
    </row>
    <row r="13" spans="2:21" x14ac:dyDescent="0.25">
      <c r="B13" s="37"/>
      <c r="C13" s="19"/>
      <c r="D13" s="19"/>
      <c r="E13" s="44"/>
      <c r="F13" s="63"/>
      <c r="G13" s="51"/>
      <c r="H13" s="51"/>
      <c r="I13" s="74"/>
      <c r="J13" s="82"/>
      <c r="K13" s="52"/>
      <c r="L13" s="52"/>
      <c r="M13" s="64"/>
      <c r="N13" s="48"/>
      <c r="O13" s="1">
        <v>13</v>
      </c>
      <c r="P13" s="1">
        <v>12</v>
      </c>
      <c r="Q13" s="2">
        <v>11</v>
      </c>
      <c r="R13" s="3">
        <v>8</v>
      </c>
      <c r="S13" s="4">
        <v>7</v>
      </c>
      <c r="T13" s="4">
        <v>6</v>
      </c>
      <c r="U13" s="38">
        <v>5</v>
      </c>
    </row>
    <row r="14" spans="2:21" x14ac:dyDescent="0.25">
      <c r="B14" s="37"/>
      <c r="C14" s="19"/>
      <c r="D14" s="19"/>
      <c r="E14" s="44"/>
      <c r="F14" s="63"/>
      <c r="G14" s="51"/>
      <c r="H14" s="51"/>
      <c r="I14" s="74"/>
      <c r="J14" s="82"/>
      <c r="K14" s="52"/>
      <c r="L14" s="52"/>
      <c r="M14" s="64"/>
      <c r="N14" s="48">
        <v>13</v>
      </c>
      <c r="O14" s="1">
        <v>12</v>
      </c>
      <c r="P14" s="1">
        <v>11</v>
      </c>
      <c r="Q14" s="2">
        <v>10</v>
      </c>
      <c r="R14" s="3">
        <v>7</v>
      </c>
      <c r="S14" s="4">
        <v>6</v>
      </c>
      <c r="T14" s="4">
        <v>5</v>
      </c>
      <c r="U14" s="38">
        <v>4</v>
      </c>
    </row>
    <row r="15" spans="2:21" x14ac:dyDescent="0.25">
      <c r="B15" s="37"/>
      <c r="C15" s="19"/>
      <c r="D15" s="19"/>
      <c r="E15" s="44"/>
      <c r="F15" s="63"/>
      <c r="G15" s="51"/>
      <c r="H15" s="51"/>
      <c r="I15" s="74"/>
      <c r="J15" s="82"/>
      <c r="K15" s="52"/>
      <c r="L15" s="52"/>
      <c r="M15" s="64"/>
      <c r="N15" s="48">
        <v>12</v>
      </c>
      <c r="O15" s="1">
        <v>11</v>
      </c>
      <c r="P15" s="1">
        <v>10</v>
      </c>
      <c r="Q15" s="2">
        <v>9</v>
      </c>
      <c r="R15" s="3">
        <v>6</v>
      </c>
      <c r="S15" s="4">
        <v>5</v>
      </c>
      <c r="T15" s="4">
        <v>4</v>
      </c>
      <c r="U15" s="38">
        <v>3</v>
      </c>
    </row>
    <row r="16" spans="2:21" x14ac:dyDescent="0.25">
      <c r="B16" s="37"/>
      <c r="C16" s="19"/>
      <c r="D16" s="19"/>
      <c r="E16" s="44"/>
      <c r="F16" s="63"/>
      <c r="G16" s="51"/>
      <c r="H16" s="51"/>
      <c r="I16" s="74"/>
      <c r="J16" s="82"/>
      <c r="K16" s="52"/>
      <c r="L16" s="52"/>
      <c r="M16" s="64"/>
      <c r="N16" s="48">
        <v>11</v>
      </c>
      <c r="O16" s="1">
        <v>10</v>
      </c>
      <c r="P16" s="1">
        <v>9</v>
      </c>
      <c r="Q16" s="2">
        <v>8</v>
      </c>
      <c r="R16" s="3">
        <v>5</v>
      </c>
      <c r="S16" s="4">
        <v>4</v>
      </c>
      <c r="T16" s="4">
        <v>3</v>
      </c>
      <c r="U16" s="38">
        <v>2</v>
      </c>
    </row>
    <row r="17" spans="2:21" x14ac:dyDescent="0.25">
      <c r="B17" s="37"/>
      <c r="C17" s="19"/>
      <c r="D17" s="19"/>
      <c r="E17" s="44"/>
      <c r="F17" s="63"/>
      <c r="G17" s="51"/>
      <c r="H17" s="51"/>
      <c r="I17" s="74"/>
      <c r="J17" s="82"/>
      <c r="K17" s="52"/>
      <c r="L17" s="52"/>
      <c r="M17" s="64">
        <v>13</v>
      </c>
      <c r="N17" s="48">
        <v>10</v>
      </c>
      <c r="O17" s="1">
        <v>9</v>
      </c>
      <c r="P17" s="1">
        <v>8</v>
      </c>
      <c r="Q17" s="2">
        <v>7</v>
      </c>
      <c r="R17" s="3">
        <v>4</v>
      </c>
      <c r="S17" s="4">
        <v>3</v>
      </c>
      <c r="T17" s="4">
        <v>2</v>
      </c>
      <c r="U17" s="38">
        <v>1</v>
      </c>
    </row>
    <row r="18" spans="2:21" x14ac:dyDescent="0.25">
      <c r="B18" s="37"/>
      <c r="C18" s="19"/>
      <c r="D18" s="19"/>
      <c r="E18" s="44"/>
      <c r="F18" s="63"/>
      <c r="G18" s="51"/>
      <c r="H18" s="51"/>
      <c r="I18" s="74"/>
      <c r="J18" s="82"/>
      <c r="K18" s="52"/>
      <c r="L18" s="52">
        <v>13</v>
      </c>
      <c r="M18" s="64">
        <v>12</v>
      </c>
      <c r="N18" s="48">
        <v>9</v>
      </c>
      <c r="O18" s="1">
        <v>8</v>
      </c>
      <c r="P18" s="1">
        <v>7</v>
      </c>
      <c r="Q18" s="2">
        <v>6</v>
      </c>
      <c r="R18" s="3">
        <v>3</v>
      </c>
      <c r="S18" s="4">
        <v>2</v>
      </c>
      <c r="T18" s="4">
        <v>1</v>
      </c>
      <c r="U18" s="38"/>
    </row>
    <row r="19" spans="2:21" x14ac:dyDescent="0.25">
      <c r="B19" s="37"/>
      <c r="C19" s="19"/>
      <c r="D19" s="19"/>
      <c r="E19" s="44"/>
      <c r="F19" s="63"/>
      <c r="G19" s="51"/>
      <c r="H19" s="51"/>
      <c r="I19" s="74"/>
      <c r="J19" s="82"/>
      <c r="K19" s="52">
        <v>13</v>
      </c>
      <c r="L19" s="52">
        <v>12</v>
      </c>
      <c r="M19" s="64">
        <v>11</v>
      </c>
      <c r="N19" s="48">
        <v>8</v>
      </c>
      <c r="O19" s="1">
        <v>7</v>
      </c>
      <c r="P19" s="1">
        <v>6</v>
      </c>
      <c r="Q19" s="2">
        <v>5</v>
      </c>
      <c r="R19" s="3">
        <v>2</v>
      </c>
      <c r="S19" s="4">
        <v>1</v>
      </c>
      <c r="T19" s="6"/>
      <c r="U19" s="38"/>
    </row>
    <row r="20" spans="2:21" x14ac:dyDescent="0.25">
      <c r="B20" s="37"/>
      <c r="C20" s="19"/>
      <c r="D20" s="19"/>
      <c r="E20" s="44"/>
      <c r="F20" s="63"/>
      <c r="G20" s="51"/>
      <c r="H20" s="51"/>
      <c r="I20" s="74"/>
      <c r="J20" s="82">
        <v>13</v>
      </c>
      <c r="K20" s="52">
        <v>12</v>
      </c>
      <c r="L20" s="52">
        <v>11</v>
      </c>
      <c r="M20" s="64">
        <v>10</v>
      </c>
      <c r="N20" s="48">
        <v>7</v>
      </c>
      <c r="O20" s="1">
        <v>6</v>
      </c>
      <c r="P20" s="1">
        <v>5</v>
      </c>
      <c r="Q20" s="2">
        <v>4</v>
      </c>
      <c r="R20" s="5">
        <v>1</v>
      </c>
      <c r="S20" s="6"/>
      <c r="T20" s="6"/>
      <c r="U20" s="39"/>
    </row>
    <row r="21" spans="2:21" x14ac:dyDescent="0.25">
      <c r="B21" s="37"/>
      <c r="C21" s="19"/>
      <c r="D21" s="19"/>
      <c r="E21" s="44"/>
      <c r="F21" s="63"/>
      <c r="G21" s="51"/>
      <c r="H21" s="51"/>
      <c r="I21" s="74"/>
      <c r="J21" s="82">
        <v>12</v>
      </c>
      <c r="K21" s="52">
        <v>11</v>
      </c>
      <c r="L21" s="52">
        <v>10</v>
      </c>
      <c r="M21" s="64">
        <v>9</v>
      </c>
      <c r="N21" s="48">
        <v>6</v>
      </c>
      <c r="O21" s="1">
        <v>5</v>
      </c>
      <c r="P21" s="1">
        <v>4</v>
      </c>
      <c r="Q21" s="2">
        <v>3</v>
      </c>
      <c r="R21" s="3"/>
      <c r="S21" s="4"/>
      <c r="T21" s="4"/>
      <c r="U21" s="38"/>
    </row>
    <row r="22" spans="2:21" x14ac:dyDescent="0.25">
      <c r="B22" s="37"/>
      <c r="C22" s="19"/>
      <c r="D22" s="19"/>
      <c r="E22" s="44"/>
      <c r="F22" s="63"/>
      <c r="G22" s="51"/>
      <c r="H22" s="51"/>
      <c r="I22" s="74"/>
      <c r="J22" s="82">
        <v>11</v>
      </c>
      <c r="K22" s="52">
        <v>10</v>
      </c>
      <c r="L22" s="52">
        <v>9</v>
      </c>
      <c r="M22" s="64">
        <v>8</v>
      </c>
      <c r="N22" s="48">
        <v>5</v>
      </c>
      <c r="O22" s="1">
        <v>4</v>
      </c>
      <c r="P22" s="1">
        <v>3</v>
      </c>
      <c r="Q22" s="2">
        <v>2</v>
      </c>
      <c r="R22" s="3"/>
      <c r="S22" s="4"/>
      <c r="T22" s="6"/>
      <c r="U22" s="38"/>
    </row>
    <row r="23" spans="2:21" x14ac:dyDescent="0.25">
      <c r="B23" s="37"/>
      <c r="C23" s="19"/>
      <c r="D23" s="19"/>
      <c r="E23" s="44"/>
      <c r="F23" s="63"/>
      <c r="G23" s="51"/>
      <c r="H23" s="51"/>
      <c r="I23" s="74">
        <v>13</v>
      </c>
      <c r="J23" s="82">
        <v>10</v>
      </c>
      <c r="K23" s="52">
        <v>9</v>
      </c>
      <c r="L23" s="52">
        <v>8</v>
      </c>
      <c r="M23" s="64">
        <v>7</v>
      </c>
      <c r="N23" s="48">
        <v>4</v>
      </c>
      <c r="O23" s="1">
        <v>3</v>
      </c>
      <c r="P23" s="1">
        <v>2</v>
      </c>
      <c r="Q23" s="2">
        <v>1</v>
      </c>
      <c r="R23" s="5"/>
      <c r="S23" s="6"/>
      <c r="T23" s="6"/>
      <c r="U23" s="39"/>
    </row>
    <row r="24" spans="2:21" x14ac:dyDescent="0.25">
      <c r="B24" s="37"/>
      <c r="C24" s="19"/>
      <c r="D24" s="19"/>
      <c r="E24" s="44"/>
      <c r="F24" s="63"/>
      <c r="G24" s="51"/>
      <c r="H24" s="51">
        <v>13</v>
      </c>
      <c r="I24" s="74">
        <v>12</v>
      </c>
      <c r="J24" s="82">
        <v>9</v>
      </c>
      <c r="K24" s="52">
        <v>8</v>
      </c>
      <c r="L24" s="52">
        <v>7</v>
      </c>
      <c r="M24" s="64">
        <v>6</v>
      </c>
      <c r="N24" s="48">
        <v>3</v>
      </c>
      <c r="O24" s="1">
        <v>2</v>
      </c>
      <c r="P24" s="1">
        <v>1</v>
      </c>
      <c r="Q24" s="2"/>
      <c r="R24" s="5"/>
      <c r="S24" s="6"/>
      <c r="T24" s="6"/>
      <c r="U24" s="39"/>
    </row>
    <row r="25" spans="2:21" x14ac:dyDescent="0.25">
      <c r="B25" s="37"/>
      <c r="C25" s="19"/>
      <c r="D25" s="19"/>
      <c r="E25" s="44"/>
      <c r="F25" s="63"/>
      <c r="G25" s="51">
        <v>13</v>
      </c>
      <c r="H25" s="51">
        <v>12</v>
      </c>
      <c r="I25" s="74">
        <v>11</v>
      </c>
      <c r="J25" s="82">
        <v>8</v>
      </c>
      <c r="K25" s="52">
        <v>7</v>
      </c>
      <c r="L25" s="52">
        <v>6</v>
      </c>
      <c r="M25" s="64">
        <v>5</v>
      </c>
      <c r="N25" s="48">
        <v>2</v>
      </c>
      <c r="O25" s="1">
        <v>1</v>
      </c>
      <c r="P25" s="1"/>
      <c r="Q25" s="2"/>
      <c r="R25" s="5"/>
      <c r="S25" s="6"/>
      <c r="T25" s="6"/>
      <c r="U25" s="39"/>
    </row>
    <row r="26" spans="2:21" x14ac:dyDescent="0.25">
      <c r="B26" s="37"/>
      <c r="C26" s="19"/>
      <c r="D26" s="19"/>
      <c r="E26" s="44"/>
      <c r="F26" s="63">
        <v>13</v>
      </c>
      <c r="G26" s="51">
        <v>12</v>
      </c>
      <c r="H26" s="51">
        <v>11</v>
      </c>
      <c r="I26" s="74">
        <v>10</v>
      </c>
      <c r="J26" s="82">
        <v>7</v>
      </c>
      <c r="K26" s="52">
        <v>6</v>
      </c>
      <c r="L26" s="52">
        <v>5</v>
      </c>
      <c r="M26" s="64">
        <v>4</v>
      </c>
      <c r="N26" s="49">
        <v>1</v>
      </c>
      <c r="O26" s="7"/>
      <c r="P26" s="7"/>
      <c r="Q26" s="8"/>
      <c r="R26" s="5"/>
      <c r="S26" s="6"/>
      <c r="T26" s="6"/>
      <c r="U26" s="39"/>
    </row>
    <row r="27" spans="2:21" x14ac:dyDescent="0.25">
      <c r="B27" s="37"/>
      <c r="C27" s="19"/>
      <c r="D27" s="19"/>
      <c r="E27" s="44"/>
      <c r="F27" s="63">
        <v>12</v>
      </c>
      <c r="G27" s="51">
        <v>11</v>
      </c>
      <c r="H27" s="51">
        <v>10</v>
      </c>
      <c r="I27" s="74">
        <v>9</v>
      </c>
      <c r="J27" s="82">
        <v>6</v>
      </c>
      <c r="K27" s="52">
        <v>5</v>
      </c>
      <c r="L27" s="52">
        <v>4</v>
      </c>
      <c r="M27" s="64">
        <v>3</v>
      </c>
      <c r="N27" s="49"/>
      <c r="O27" s="7"/>
      <c r="P27" s="7"/>
      <c r="Q27" s="8"/>
      <c r="R27" s="5"/>
      <c r="S27" s="6"/>
      <c r="T27" s="6"/>
      <c r="U27" s="39"/>
    </row>
    <row r="28" spans="2:21" x14ac:dyDescent="0.25">
      <c r="B28" s="37"/>
      <c r="C28" s="19"/>
      <c r="D28" s="19"/>
      <c r="E28" s="44"/>
      <c r="F28" s="63">
        <v>11</v>
      </c>
      <c r="G28" s="51">
        <v>10</v>
      </c>
      <c r="H28" s="51">
        <v>9</v>
      </c>
      <c r="I28" s="74">
        <v>8</v>
      </c>
      <c r="J28" s="82">
        <v>5</v>
      </c>
      <c r="K28" s="52">
        <v>4</v>
      </c>
      <c r="L28" s="52">
        <v>3</v>
      </c>
      <c r="M28" s="64">
        <v>2</v>
      </c>
      <c r="N28" s="49"/>
      <c r="O28" s="7"/>
      <c r="P28" s="7"/>
      <c r="Q28" s="8"/>
      <c r="R28" s="5"/>
      <c r="S28" s="6"/>
      <c r="T28" s="6"/>
      <c r="U28" s="39"/>
    </row>
    <row r="29" spans="2:21" x14ac:dyDescent="0.25">
      <c r="B29" s="37"/>
      <c r="C29" s="19"/>
      <c r="D29" s="19"/>
      <c r="E29" s="44">
        <v>13</v>
      </c>
      <c r="F29" s="63">
        <v>10</v>
      </c>
      <c r="G29" s="51">
        <v>9</v>
      </c>
      <c r="H29" s="51">
        <v>8</v>
      </c>
      <c r="I29" s="74">
        <v>7</v>
      </c>
      <c r="J29" s="82">
        <v>4</v>
      </c>
      <c r="K29" s="52">
        <v>3</v>
      </c>
      <c r="L29" s="52">
        <v>2</v>
      </c>
      <c r="M29" s="64">
        <v>1</v>
      </c>
      <c r="N29" s="48"/>
      <c r="O29" s="1"/>
      <c r="P29" s="1"/>
      <c r="Q29" s="2"/>
      <c r="R29" s="5"/>
      <c r="S29" s="6"/>
      <c r="T29" s="6"/>
      <c r="U29" s="39"/>
    </row>
    <row r="30" spans="2:21" x14ac:dyDescent="0.25">
      <c r="B30" s="37"/>
      <c r="C30" s="19"/>
      <c r="D30" s="19">
        <v>13</v>
      </c>
      <c r="E30" s="44">
        <v>12</v>
      </c>
      <c r="F30" s="63">
        <v>9</v>
      </c>
      <c r="G30" s="51">
        <v>8</v>
      </c>
      <c r="H30" s="51">
        <v>7</v>
      </c>
      <c r="I30" s="74">
        <v>6</v>
      </c>
      <c r="J30" s="82">
        <v>3</v>
      </c>
      <c r="K30" s="52">
        <v>2</v>
      </c>
      <c r="L30" s="52">
        <v>1</v>
      </c>
      <c r="M30" s="64"/>
      <c r="N30" s="48"/>
      <c r="O30" s="1"/>
      <c r="P30" s="1"/>
      <c r="Q30" s="2"/>
      <c r="R30" s="5"/>
      <c r="S30" s="6"/>
      <c r="T30" s="6"/>
      <c r="U30" s="39"/>
    </row>
    <row r="31" spans="2:21" x14ac:dyDescent="0.25">
      <c r="B31" s="37"/>
      <c r="C31" s="19">
        <v>13</v>
      </c>
      <c r="D31" s="19">
        <v>12</v>
      </c>
      <c r="E31" s="44">
        <v>11</v>
      </c>
      <c r="F31" s="63">
        <v>8</v>
      </c>
      <c r="G31" s="51">
        <v>7</v>
      </c>
      <c r="H31" s="51">
        <v>6</v>
      </c>
      <c r="I31" s="74">
        <v>5</v>
      </c>
      <c r="J31" s="82">
        <v>2</v>
      </c>
      <c r="K31" s="52">
        <v>1</v>
      </c>
      <c r="L31" s="52"/>
      <c r="M31" s="64"/>
      <c r="N31" s="48"/>
      <c r="O31" s="1"/>
      <c r="P31" s="1"/>
      <c r="Q31" s="2"/>
      <c r="R31" s="5"/>
      <c r="S31" s="6"/>
      <c r="T31" s="6"/>
      <c r="U31" s="39"/>
    </row>
    <row r="32" spans="2:21" x14ac:dyDescent="0.25">
      <c r="B32" s="37">
        <v>13</v>
      </c>
      <c r="C32" s="19">
        <v>12</v>
      </c>
      <c r="D32" s="19">
        <v>11</v>
      </c>
      <c r="E32" s="44">
        <v>10</v>
      </c>
      <c r="F32" s="63">
        <v>7</v>
      </c>
      <c r="G32" s="51">
        <v>6</v>
      </c>
      <c r="H32" s="51">
        <v>5</v>
      </c>
      <c r="I32" s="74">
        <v>4</v>
      </c>
      <c r="J32" s="82">
        <v>1</v>
      </c>
      <c r="K32" s="52"/>
      <c r="L32" s="52"/>
      <c r="M32" s="64"/>
      <c r="N32" s="48"/>
      <c r="O32" s="1"/>
      <c r="P32" s="1"/>
      <c r="Q32" s="2"/>
      <c r="R32" s="3"/>
      <c r="S32" s="4"/>
      <c r="T32" s="4"/>
      <c r="U32" s="38"/>
    </row>
    <row r="33" spans="2:21" x14ac:dyDescent="0.25">
      <c r="B33" s="37">
        <v>12</v>
      </c>
      <c r="C33" s="19">
        <v>11</v>
      </c>
      <c r="D33" s="19">
        <v>10</v>
      </c>
      <c r="E33" s="44">
        <v>9</v>
      </c>
      <c r="F33" s="63">
        <v>6</v>
      </c>
      <c r="G33" s="51">
        <v>5</v>
      </c>
      <c r="H33" s="51">
        <v>4</v>
      </c>
      <c r="I33" s="74">
        <v>3</v>
      </c>
      <c r="J33" s="82"/>
      <c r="K33" s="52"/>
      <c r="L33" s="52"/>
      <c r="M33" s="64"/>
      <c r="N33" s="48"/>
      <c r="O33" s="1"/>
      <c r="P33" s="1"/>
      <c r="Q33" s="2"/>
      <c r="R33" s="3"/>
      <c r="S33" s="4"/>
      <c r="T33" s="4"/>
      <c r="U33" s="38"/>
    </row>
    <row r="34" spans="2:21" x14ac:dyDescent="0.25">
      <c r="B34" s="37">
        <v>11</v>
      </c>
      <c r="C34" s="19">
        <v>10</v>
      </c>
      <c r="D34" s="19">
        <v>9</v>
      </c>
      <c r="E34" s="44">
        <v>8</v>
      </c>
      <c r="F34" s="63">
        <v>5</v>
      </c>
      <c r="G34" s="51">
        <v>4</v>
      </c>
      <c r="H34" s="51">
        <v>3</v>
      </c>
      <c r="I34" s="74">
        <v>2</v>
      </c>
      <c r="J34" s="82"/>
      <c r="K34" s="52"/>
      <c r="L34" s="52"/>
      <c r="M34" s="64"/>
      <c r="N34" s="48"/>
      <c r="O34" s="1"/>
      <c r="P34" s="1"/>
      <c r="Q34" s="2"/>
      <c r="R34" s="3"/>
      <c r="S34" s="4"/>
      <c r="T34" s="4"/>
      <c r="U34" s="38"/>
    </row>
    <row r="35" spans="2:21" x14ac:dyDescent="0.25">
      <c r="B35" s="37">
        <v>10</v>
      </c>
      <c r="C35" s="19">
        <v>9</v>
      </c>
      <c r="D35" s="19">
        <v>8</v>
      </c>
      <c r="E35" s="44">
        <v>7</v>
      </c>
      <c r="F35" s="63">
        <v>4</v>
      </c>
      <c r="G35" s="51">
        <v>3</v>
      </c>
      <c r="H35" s="51">
        <v>2</v>
      </c>
      <c r="I35" s="74">
        <v>1</v>
      </c>
      <c r="J35" s="82"/>
      <c r="K35" s="52"/>
      <c r="L35" s="52"/>
      <c r="M35" s="64"/>
      <c r="N35" s="48"/>
      <c r="O35" s="1"/>
      <c r="P35" s="1"/>
      <c r="Q35" s="2"/>
      <c r="R35" s="3"/>
      <c r="S35" s="4"/>
      <c r="T35" s="4"/>
      <c r="U35" s="38"/>
    </row>
    <row r="36" spans="2:21" x14ac:dyDescent="0.25">
      <c r="B36" s="37">
        <v>9</v>
      </c>
      <c r="C36" s="19">
        <v>8</v>
      </c>
      <c r="D36" s="19">
        <v>7</v>
      </c>
      <c r="E36" s="44">
        <v>6</v>
      </c>
      <c r="F36" s="63">
        <v>3</v>
      </c>
      <c r="G36" s="51">
        <v>2</v>
      </c>
      <c r="H36" s="51">
        <v>1</v>
      </c>
      <c r="I36" s="74"/>
      <c r="J36" s="82"/>
      <c r="K36" s="52"/>
      <c r="L36" s="52"/>
      <c r="M36" s="64"/>
      <c r="N36" s="48"/>
      <c r="O36" s="1"/>
      <c r="P36" s="1"/>
      <c r="Q36" s="2"/>
      <c r="R36" s="3"/>
      <c r="S36" s="4"/>
      <c r="T36" s="4"/>
      <c r="U36" s="38"/>
    </row>
    <row r="37" spans="2:21" x14ac:dyDescent="0.25">
      <c r="B37" s="37">
        <v>8</v>
      </c>
      <c r="C37" s="19">
        <v>7</v>
      </c>
      <c r="D37" s="19">
        <v>6</v>
      </c>
      <c r="E37" s="44">
        <v>5</v>
      </c>
      <c r="F37" s="63">
        <v>2</v>
      </c>
      <c r="G37" s="51">
        <v>1</v>
      </c>
      <c r="H37" s="51"/>
      <c r="I37" s="74"/>
      <c r="J37" s="82"/>
      <c r="K37" s="52"/>
      <c r="L37" s="52"/>
      <c r="M37" s="64"/>
      <c r="N37" s="49"/>
      <c r="O37" s="7"/>
      <c r="P37" s="7"/>
      <c r="Q37" s="8"/>
      <c r="R37" s="3"/>
      <c r="S37" s="4"/>
      <c r="T37" s="4"/>
      <c r="U37" s="38"/>
    </row>
    <row r="38" spans="2:21" x14ac:dyDescent="0.25">
      <c r="B38" s="37">
        <v>7</v>
      </c>
      <c r="C38" s="19">
        <v>6</v>
      </c>
      <c r="D38" s="19">
        <v>5</v>
      </c>
      <c r="E38" s="44">
        <v>4</v>
      </c>
      <c r="F38" s="63">
        <v>1</v>
      </c>
      <c r="G38" s="51"/>
      <c r="H38" s="51"/>
      <c r="I38" s="74"/>
      <c r="J38" s="82"/>
      <c r="K38" s="52"/>
      <c r="L38" s="52"/>
      <c r="M38" s="64"/>
      <c r="N38" s="48"/>
      <c r="O38" s="1"/>
      <c r="P38" s="1"/>
      <c r="Q38" s="2"/>
      <c r="R38" s="3"/>
      <c r="S38" s="4"/>
      <c r="T38" s="4"/>
      <c r="U38" s="38"/>
    </row>
    <row r="39" spans="2:21" x14ac:dyDescent="0.25">
      <c r="B39" s="37">
        <v>6</v>
      </c>
      <c r="C39" s="19">
        <v>5</v>
      </c>
      <c r="D39" s="19">
        <v>4</v>
      </c>
      <c r="E39" s="44">
        <v>3</v>
      </c>
      <c r="F39" s="63"/>
      <c r="G39" s="51"/>
      <c r="H39" s="51"/>
      <c r="I39" s="74"/>
      <c r="J39" s="82"/>
      <c r="K39" s="52"/>
      <c r="L39" s="52"/>
      <c r="M39" s="64"/>
      <c r="N39" s="49"/>
      <c r="O39" s="7"/>
      <c r="P39" s="7"/>
      <c r="Q39" s="8"/>
      <c r="R39" s="3"/>
      <c r="S39" s="4"/>
      <c r="T39" s="4"/>
      <c r="U39" s="38"/>
    </row>
    <row r="40" spans="2:21" x14ac:dyDescent="0.25">
      <c r="B40" s="37">
        <v>5</v>
      </c>
      <c r="C40" s="19">
        <v>4</v>
      </c>
      <c r="D40" s="19">
        <v>3</v>
      </c>
      <c r="E40" s="44">
        <v>2</v>
      </c>
      <c r="F40" s="63"/>
      <c r="G40" s="51"/>
      <c r="H40" s="51"/>
      <c r="I40" s="74"/>
      <c r="J40" s="82"/>
      <c r="K40" s="52"/>
      <c r="L40" s="52"/>
      <c r="M40" s="64"/>
      <c r="N40" s="48"/>
      <c r="O40" s="1"/>
      <c r="P40" s="1"/>
      <c r="Q40" s="2"/>
      <c r="R40" s="3"/>
      <c r="S40" s="4"/>
      <c r="T40" s="4"/>
      <c r="U40" s="38"/>
    </row>
    <row r="41" spans="2:21" x14ac:dyDescent="0.25">
      <c r="B41" s="40">
        <v>4</v>
      </c>
      <c r="C41" s="20">
        <v>3</v>
      </c>
      <c r="D41" s="20">
        <v>2</v>
      </c>
      <c r="E41" s="45">
        <v>1</v>
      </c>
      <c r="F41" s="63"/>
      <c r="G41" s="51"/>
      <c r="H41" s="51"/>
      <c r="I41" s="74"/>
      <c r="J41" s="82"/>
      <c r="K41" s="52"/>
      <c r="L41" s="52"/>
      <c r="M41" s="64"/>
      <c r="N41" s="48"/>
      <c r="O41" s="1"/>
      <c r="P41" s="1"/>
      <c r="Q41" s="2"/>
      <c r="R41" s="3"/>
      <c r="S41" s="4"/>
      <c r="T41" s="4"/>
      <c r="U41" s="38"/>
    </row>
    <row r="42" spans="2:21" x14ac:dyDescent="0.25">
      <c r="B42" s="37">
        <v>3</v>
      </c>
      <c r="C42" s="19">
        <v>2</v>
      </c>
      <c r="D42" s="19">
        <v>1</v>
      </c>
      <c r="E42" s="44"/>
      <c r="F42" s="63"/>
      <c r="G42" s="51"/>
      <c r="H42" s="51"/>
      <c r="I42" s="74"/>
      <c r="J42" s="82"/>
      <c r="K42" s="52"/>
      <c r="L42" s="52"/>
      <c r="M42" s="64"/>
      <c r="N42" s="48"/>
      <c r="O42" s="1"/>
      <c r="P42" s="1"/>
      <c r="Q42" s="2"/>
      <c r="R42" s="3"/>
      <c r="S42" s="4"/>
      <c r="T42" s="4"/>
      <c r="U42" s="38"/>
    </row>
    <row r="43" spans="2:21" x14ac:dyDescent="0.25">
      <c r="B43" s="37">
        <v>2</v>
      </c>
      <c r="C43" s="19">
        <v>1</v>
      </c>
      <c r="D43" s="19"/>
      <c r="E43" s="44"/>
      <c r="F43" s="63"/>
      <c r="G43" s="51"/>
      <c r="H43" s="51"/>
      <c r="I43" s="74"/>
      <c r="J43" s="82"/>
      <c r="K43" s="52"/>
      <c r="L43" s="52"/>
      <c r="M43" s="64"/>
      <c r="N43" s="48"/>
      <c r="O43" s="1"/>
      <c r="P43" s="1"/>
      <c r="Q43" s="2"/>
      <c r="R43" s="3"/>
      <c r="S43" s="4"/>
      <c r="T43" s="4"/>
      <c r="U43" s="38"/>
    </row>
    <row r="44" spans="2:21" ht="15.75" thickBot="1" x14ac:dyDescent="0.3">
      <c r="B44" s="41">
        <v>1</v>
      </c>
      <c r="C44" s="22"/>
      <c r="D44" s="22"/>
      <c r="E44" s="46"/>
      <c r="F44" s="69"/>
      <c r="G44" s="70"/>
      <c r="H44" s="70"/>
      <c r="I44" s="77"/>
      <c r="J44" s="85"/>
      <c r="K44" s="71"/>
      <c r="L44" s="71"/>
      <c r="M44" s="72"/>
      <c r="N44" s="50"/>
      <c r="O44" s="14"/>
      <c r="P44" s="14"/>
      <c r="Q44" s="15"/>
      <c r="R44" s="16"/>
      <c r="S44" s="17"/>
      <c r="T44" s="17"/>
      <c r="U44" s="42"/>
    </row>
    <row r="45" spans="2:2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2:2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52" spans="1:23" ht="15.75" x14ac:dyDescent="0.25">
      <c r="A52" s="478"/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</row>
    <row r="53" spans="1:23" x14ac:dyDescent="0.25">
      <c r="A53" s="467"/>
      <c r="B53" s="467"/>
      <c r="D53" s="475"/>
      <c r="E53" s="475"/>
      <c r="F53" s="475"/>
    </row>
    <row r="54" spans="1:23" ht="15.75" x14ac:dyDescent="0.25">
      <c r="A54" s="476"/>
      <c r="B54" s="476"/>
      <c r="C54" s="476"/>
      <c r="D54" s="476"/>
      <c r="E54" s="476"/>
      <c r="F54" s="476"/>
      <c r="G54" s="476"/>
      <c r="H54" s="476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87"/>
    </row>
    <row r="55" spans="1:23" ht="15.75" x14ac:dyDescent="0.25">
      <c r="A55" s="98"/>
      <c r="D55" s="476"/>
      <c r="E55" s="476"/>
      <c r="F55" s="476"/>
      <c r="H55" s="87"/>
      <c r="I55" s="478"/>
      <c r="J55" s="478"/>
      <c r="K55" s="478"/>
      <c r="L55" s="87"/>
      <c r="M55" s="87"/>
      <c r="N55" s="478"/>
      <c r="O55" s="478"/>
      <c r="P55" s="478"/>
    </row>
    <row r="56" spans="1:23" ht="15.75" x14ac:dyDescent="0.25">
      <c r="A56" s="98"/>
      <c r="B56" s="478"/>
      <c r="C56" s="478"/>
      <c r="D56" s="476"/>
      <c r="E56" s="476"/>
      <c r="F56" s="476"/>
      <c r="I56" s="478"/>
      <c r="J56" s="478"/>
      <c r="K56" s="478"/>
      <c r="L56" s="87"/>
      <c r="M56" s="87"/>
      <c r="N56" s="478"/>
      <c r="O56" s="478"/>
      <c r="P56" s="478"/>
    </row>
    <row r="57" spans="1:23" ht="15.75" x14ac:dyDescent="0.25">
      <c r="A57" s="98"/>
      <c r="B57" s="97"/>
      <c r="C57" s="97"/>
      <c r="D57" s="476"/>
      <c r="E57" s="476"/>
      <c r="F57" s="476"/>
      <c r="I57" s="478"/>
      <c r="J57" s="478"/>
      <c r="K57" s="478"/>
      <c r="L57" s="87"/>
      <c r="M57" s="87"/>
      <c r="N57" s="478"/>
      <c r="O57" s="478"/>
      <c r="P57" s="478"/>
    </row>
    <row r="58" spans="1:23" ht="15.75" x14ac:dyDescent="0.25">
      <c r="A58" s="98"/>
      <c r="B58" s="97"/>
      <c r="C58" s="97"/>
      <c r="D58" s="476"/>
      <c r="E58" s="476"/>
      <c r="F58" s="476"/>
      <c r="I58" s="478"/>
      <c r="J58" s="478"/>
      <c r="K58" s="478"/>
      <c r="L58" s="87"/>
      <c r="M58" s="87"/>
      <c r="N58" s="478"/>
      <c r="O58" s="478"/>
      <c r="P58" s="478"/>
    </row>
    <row r="59" spans="1:23" ht="15.75" x14ac:dyDescent="0.25">
      <c r="A59" s="98"/>
      <c r="B59" s="97"/>
      <c r="C59" s="97"/>
      <c r="D59" s="476"/>
      <c r="E59" s="476"/>
      <c r="F59" s="476"/>
      <c r="I59" s="478"/>
      <c r="J59" s="478"/>
      <c r="K59" s="478"/>
      <c r="L59" s="87"/>
      <c r="M59" s="87"/>
      <c r="N59" s="478"/>
      <c r="O59" s="478"/>
      <c r="P59" s="478"/>
    </row>
    <row r="60" spans="1:23" ht="15.75" x14ac:dyDescent="0.25">
      <c r="A60" s="98"/>
      <c r="B60" s="97"/>
      <c r="C60" s="97"/>
      <c r="D60" s="476"/>
      <c r="E60" s="476"/>
      <c r="F60" s="476"/>
      <c r="I60" s="478"/>
      <c r="J60" s="478"/>
      <c r="K60" s="478"/>
      <c r="L60" s="87"/>
      <c r="M60" s="87"/>
      <c r="N60" s="478"/>
      <c r="O60" s="478"/>
      <c r="P60" s="478"/>
    </row>
    <row r="61" spans="1:23" ht="15.75" x14ac:dyDescent="0.25">
      <c r="A61" s="98"/>
      <c r="B61" s="97"/>
      <c r="C61" s="97"/>
      <c r="D61" s="476"/>
      <c r="E61" s="476"/>
      <c r="F61" s="476"/>
      <c r="I61" s="478"/>
      <c r="J61" s="478"/>
      <c r="K61" s="478"/>
      <c r="L61" s="87"/>
      <c r="M61" s="87"/>
      <c r="N61" s="478"/>
      <c r="O61" s="478"/>
      <c r="P61" s="478"/>
    </row>
    <row r="62" spans="1:23" ht="15.75" x14ac:dyDescent="0.25">
      <c r="A62" s="98"/>
      <c r="B62" s="97"/>
      <c r="C62" s="97"/>
      <c r="D62" s="476"/>
      <c r="E62" s="476"/>
      <c r="F62" s="476"/>
      <c r="I62" s="478"/>
      <c r="J62" s="478"/>
      <c r="K62" s="478"/>
      <c r="L62" s="87"/>
      <c r="M62" s="87"/>
      <c r="N62" s="478"/>
      <c r="O62" s="478"/>
      <c r="P62" s="478"/>
      <c r="W62" s="235"/>
    </row>
    <row r="63" spans="1:23" ht="15.75" x14ac:dyDescent="0.25">
      <c r="A63" s="98"/>
      <c r="B63" s="97"/>
      <c r="C63" s="97"/>
      <c r="D63" s="476"/>
      <c r="E63" s="476"/>
      <c r="F63" s="476"/>
      <c r="I63" s="478"/>
      <c r="J63" s="478"/>
      <c r="K63" s="478"/>
      <c r="L63" s="87"/>
      <c r="M63" s="87"/>
      <c r="N63" s="478"/>
      <c r="O63" s="478"/>
      <c r="P63" s="478"/>
    </row>
    <row r="64" spans="1:23" ht="15.75" x14ac:dyDescent="0.25">
      <c r="A64" s="98"/>
      <c r="B64" s="97"/>
      <c r="C64" s="97"/>
      <c r="D64" s="476"/>
      <c r="E64" s="476"/>
      <c r="F64" s="476"/>
      <c r="I64" s="478"/>
      <c r="J64" s="478"/>
      <c r="K64" s="478"/>
      <c r="L64" s="87"/>
      <c r="M64" s="87"/>
      <c r="N64" s="478"/>
      <c r="O64" s="478"/>
      <c r="P64" s="478"/>
    </row>
    <row r="65" spans="1:16" ht="15.75" x14ac:dyDescent="0.25">
      <c r="A65" s="98"/>
      <c r="B65" s="97"/>
      <c r="C65" s="97"/>
      <c r="D65" s="476"/>
      <c r="E65" s="476"/>
      <c r="F65" s="476"/>
      <c r="I65" s="478"/>
      <c r="J65" s="478"/>
      <c r="K65" s="478"/>
      <c r="L65" s="87"/>
      <c r="M65" s="87"/>
      <c r="N65" s="478"/>
      <c r="O65" s="478"/>
      <c r="P65" s="478"/>
    </row>
    <row r="66" spans="1:16" ht="15.75" x14ac:dyDescent="0.25">
      <c r="A66" s="98"/>
      <c r="B66" s="97"/>
      <c r="C66" s="97"/>
      <c r="D66" s="476"/>
      <c r="E66" s="476"/>
      <c r="F66" s="476"/>
      <c r="I66" s="478"/>
      <c r="J66" s="478"/>
      <c r="K66" s="478"/>
      <c r="L66" s="87"/>
      <c r="M66" s="87"/>
      <c r="N66" s="478"/>
      <c r="O66" s="478"/>
      <c r="P66" s="478"/>
    </row>
    <row r="67" spans="1:16" ht="15.75" x14ac:dyDescent="0.25">
      <c r="A67" s="98"/>
      <c r="B67" s="97"/>
      <c r="C67" s="97"/>
      <c r="D67" s="476"/>
      <c r="E67" s="476"/>
      <c r="F67" s="476"/>
      <c r="I67" s="478"/>
      <c r="J67" s="478"/>
      <c r="K67" s="478"/>
      <c r="L67" s="87"/>
      <c r="M67" s="87"/>
      <c r="N67" s="478"/>
      <c r="O67" s="478"/>
      <c r="P67" s="478"/>
    </row>
    <row r="68" spans="1:16" ht="15.75" x14ac:dyDescent="0.25">
      <c r="A68" s="98"/>
      <c r="B68" s="97"/>
      <c r="C68" s="97"/>
      <c r="D68" s="476"/>
      <c r="E68" s="476"/>
      <c r="F68" s="476"/>
      <c r="I68" s="478"/>
      <c r="J68" s="478"/>
      <c r="K68" s="478"/>
      <c r="L68" s="87"/>
      <c r="M68" s="87"/>
      <c r="N68" s="478"/>
      <c r="O68" s="478"/>
      <c r="P68" s="478"/>
    </row>
    <row r="69" spans="1:16" ht="15.75" x14ac:dyDescent="0.25">
      <c r="A69" s="98"/>
      <c r="B69" s="97"/>
      <c r="C69" s="97"/>
      <c r="D69" s="87"/>
    </row>
    <row r="70" spans="1:16" ht="15.75" x14ac:dyDescent="0.25">
      <c r="A70" s="98"/>
      <c r="B70" s="97"/>
      <c r="C70" s="97"/>
      <c r="D70" s="87"/>
    </row>
    <row r="71" spans="1:16" ht="15.75" x14ac:dyDescent="0.25">
      <c r="A71" s="98"/>
      <c r="B71" s="97"/>
      <c r="C71" s="97"/>
      <c r="D71" s="87"/>
    </row>
  </sheetData>
  <mergeCells count="54">
    <mergeCell ref="D68:F68"/>
    <mergeCell ref="A54:H54"/>
    <mergeCell ref="I54:R54"/>
    <mergeCell ref="I55:K55"/>
    <mergeCell ref="D62:F62"/>
    <mergeCell ref="D63:F63"/>
    <mergeCell ref="D64:F64"/>
    <mergeCell ref="D65:F65"/>
    <mergeCell ref="D66:F66"/>
    <mergeCell ref="D67:F67"/>
    <mergeCell ref="D56:F56"/>
    <mergeCell ref="D57:F57"/>
    <mergeCell ref="D58:F58"/>
    <mergeCell ref="D59:F59"/>
    <mergeCell ref="D60:F60"/>
    <mergeCell ref="I67:K67"/>
    <mergeCell ref="N65:P65"/>
    <mergeCell ref="N66:P66"/>
    <mergeCell ref="N67:P67"/>
    <mergeCell ref="I66:K66"/>
    <mergeCell ref="I61:K61"/>
    <mergeCell ref="I65:K65"/>
    <mergeCell ref="D61:F61"/>
    <mergeCell ref="N68:P68"/>
    <mergeCell ref="I60:K60"/>
    <mergeCell ref="I68:K68"/>
    <mergeCell ref="N56:P56"/>
    <mergeCell ref="N57:P57"/>
    <mergeCell ref="N58:P58"/>
    <mergeCell ref="N59:P59"/>
    <mergeCell ref="N60:P60"/>
    <mergeCell ref="N61:P61"/>
    <mergeCell ref="N62:P62"/>
    <mergeCell ref="N63:P63"/>
    <mergeCell ref="N64:P64"/>
    <mergeCell ref="I62:K62"/>
    <mergeCell ref="I63:K63"/>
    <mergeCell ref="I64:K64"/>
    <mergeCell ref="C1:U1"/>
    <mergeCell ref="A53:B53"/>
    <mergeCell ref="D53:F53"/>
    <mergeCell ref="B3:E3"/>
    <mergeCell ref="F3:I3"/>
    <mergeCell ref="J3:M3"/>
    <mergeCell ref="N3:Q3"/>
    <mergeCell ref="R3:U3"/>
    <mergeCell ref="I57:K57"/>
    <mergeCell ref="I58:K58"/>
    <mergeCell ref="I59:K59"/>
    <mergeCell ref="A52:U52"/>
    <mergeCell ref="D55:F55"/>
    <mergeCell ref="B56:C56"/>
    <mergeCell ref="I56:K56"/>
    <mergeCell ref="N55:P55"/>
  </mergeCells>
  <pageMargins left="0.51181102362204722" right="0.51181102362204722" top="0.78740157480314965" bottom="0.78740157480314965" header="0.31496062992125984" footer="0.31496062992125984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1"/>
  <sheetViews>
    <sheetView tabSelected="1" zoomScale="89" zoomScaleNormal="89" workbookViewId="0">
      <pane ySplit="3" topLeftCell="A4" activePane="bottomLeft" state="frozen"/>
      <selection pane="bottomLeft" activeCell="F7" sqref="F7:I7"/>
    </sheetView>
  </sheetViews>
  <sheetFormatPr defaultRowHeight="15" x14ac:dyDescent="0.25"/>
  <cols>
    <col min="1" max="1" width="6.28515625" customWidth="1"/>
    <col min="2" max="21" width="3.7109375" customWidth="1"/>
    <col min="22" max="22" width="13.140625" customWidth="1"/>
    <col min="23" max="23" width="6.140625" customWidth="1"/>
    <col min="24" max="27" width="3.7109375" customWidth="1"/>
    <col min="28" max="28" width="11.85546875" bestFit="1" customWidth="1"/>
    <col min="29" max="32" width="3.7109375" customWidth="1"/>
    <col min="33" max="33" width="10.5703125" bestFit="1" customWidth="1"/>
    <col min="34" max="37" width="3.7109375" customWidth="1"/>
    <col min="38" max="38" width="10.5703125" bestFit="1" customWidth="1"/>
    <col min="39" max="42" width="3.7109375" customWidth="1"/>
    <col min="43" max="43" width="10.5703125" bestFit="1" customWidth="1"/>
    <col min="44" max="44" width="9.42578125" customWidth="1"/>
  </cols>
  <sheetData>
    <row r="1" spans="1:43" ht="16.5" thickBot="1" x14ac:dyDescent="0.3">
      <c r="A1" s="442" t="s">
        <v>16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2"/>
      <c r="X1" s="518" t="s">
        <v>37</v>
      </c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</row>
    <row r="2" spans="1:43" ht="16.5" thickBot="1" x14ac:dyDescent="0.3">
      <c r="A2" s="507" t="s">
        <v>0</v>
      </c>
      <c r="B2" s="509" t="s">
        <v>1</v>
      </c>
      <c r="C2" s="510"/>
      <c r="D2" s="510"/>
      <c r="E2" s="510"/>
      <c r="F2" s="511" t="s">
        <v>2</v>
      </c>
      <c r="G2" s="511"/>
      <c r="H2" s="511"/>
      <c r="I2" s="511"/>
      <c r="J2" s="512" t="s">
        <v>3</v>
      </c>
      <c r="K2" s="512"/>
      <c r="L2" s="512"/>
      <c r="M2" s="512"/>
      <c r="N2" s="513" t="s">
        <v>4</v>
      </c>
      <c r="O2" s="513"/>
      <c r="P2" s="513"/>
      <c r="Q2" s="513"/>
      <c r="R2" s="514" t="s">
        <v>5</v>
      </c>
      <c r="S2" s="514"/>
      <c r="T2" s="514"/>
      <c r="U2" s="515"/>
      <c r="V2" s="516" t="s">
        <v>40</v>
      </c>
      <c r="X2" s="497" t="s">
        <v>15</v>
      </c>
      <c r="Y2" s="498"/>
      <c r="Z2" s="498"/>
      <c r="AA2" s="499"/>
      <c r="AB2" s="500" t="s">
        <v>40</v>
      </c>
      <c r="AC2" s="497" t="s">
        <v>12</v>
      </c>
      <c r="AD2" s="498"/>
      <c r="AE2" s="498"/>
      <c r="AF2" s="499"/>
      <c r="AG2" s="500" t="s">
        <v>40</v>
      </c>
      <c r="AH2" s="497" t="s">
        <v>13</v>
      </c>
      <c r="AI2" s="498"/>
      <c r="AJ2" s="498"/>
      <c r="AK2" s="499"/>
      <c r="AL2" s="500" t="s">
        <v>40</v>
      </c>
      <c r="AM2" s="497" t="s">
        <v>14</v>
      </c>
      <c r="AN2" s="498"/>
      <c r="AO2" s="498"/>
      <c r="AP2" s="499"/>
      <c r="AQ2" s="520" t="s">
        <v>40</v>
      </c>
    </row>
    <row r="3" spans="1:43" ht="16.5" thickBot="1" x14ac:dyDescent="0.3">
      <c r="A3" s="508"/>
      <c r="B3" s="237" t="s">
        <v>6</v>
      </c>
      <c r="C3" s="238" t="s">
        <v>7</v>
      </c>
      <c r="D3" s="238" t="s">
        <v>8</v>
      </c>
      <c r="E3" s="239" t="s">
        <v>9</v>
      </c>
      <c r="F3" s="240" t="s">
        <v>6</v>
      </c>
      <c r="G3" s="241" t="s">
        <v>7</v>
      </c>
      <c r="H3" s="241" t="s">
        <v>8</v>
      </c>
      <c r="I3" s="242" t="s">
        <v>9</v>
      </c>
      <c r="J3" s="243" t="s">
        <v>6</v>
      </c>
      <c r="K3" s="244" t="s">
        <v>7</v>
      </c>
      <c r="L3" s="244" t="s">
        <v>8</v>
      </c>
      <c r="M3" s="245" t="s">
        <v>9</v>
      </c>
      <c r="N3" s="246" t="s">
        <v>6</v>
      </c>
      <c r="O3" s="247" t="s">
        <v>7</v>
      </c>
      <c r="P3" s="247" t="s">
        <v>8</v>
      </c>
      <c r="Q3" s="248" t="s">
        <v>9</v>
      </c>
      <c r="R3" s="249" t="s">
        <v>6</v>
      </c>
      <c r="S3" s="250" t="s">
        <v>7</v>
      </c>
      <c r="T3" s="250" t="s">
        <v>8</v>
      </c>
      <c r="U3" s="251" t="s">
        <v>9</v>
      </c>
      <c r="V3" s="517"/>
      <c r="X3" s="316" t="s">
        <v>6</v>
      </c>
      <c r="Y3" s="317" t="s">
        <v>7</v>
      </c>
      <c r="Z3" s="318" t="s">
        <v>8</v>
      </c>
      <c r="AA3" s="319" t="s">
        <v>9</v>
      </c>
      <c r="AB3" s="501"/>
      <c r="AC3" s="316" t="s">
        <v>6</v>
      </c>
      <c r="AD3" s="317" t="s">
        <v>7</v>
      </c>
      <c r="AE3" s="318" t="s">
        <v>8</v>
      </c>
      <c r="AF3" s="319" t="s">
        <v>9</v>
      </c>
      <c r="AG3" s="501"/>
      <c r="AH3" s="316" t="s">
        <v>6</v>
      </c>
      <c r="AI3" s="317" t="s">
        <v>7</v>
      </c>
      <c r="AJ3" s="318" t="s">
        <v>8</v>
      </c>
      <c r="AK3" s="319" t="s">
        <v>9</v>
      </c>
      <c r="AL3" s="501"/>
      <c r="AM3" s="316" t="s">
        <v>6</v>
      </c>
      <c r="AN3" s="317" t="s">
        <v>7</v>
      </c>
      <c r="AO3" s="318" t="s">
        <v>8</v>
      </c>
      <c r="AP3" s="319" t="s">
        <v>9</v>
      </c>
      <c r="AQ3" s="521"/>
    </row>
    <row r="4" spans="1:43" ht="15.75" x14ac:dyDescent="0.25">
      <c r="A4" s="252">
        <v>40</v>
      </c>
      <c r="B4" s="253"/>
      <c r="C4" s="254"/>
      <c r="D4" s="254"/>
      <c r="E4" s="255"/>
      <c r="F4" s="256"/>
      <c r="G4" s="257"/>
      <c r="H4" s="257"/>
      <c r="I4" s="258"/>
      <c r="J4" s="259"/>
      <c r="K4" s="260"/>
      <c r="L4" s="260"/>
      <c r="M4" s="261"/>
      <c r="N4" s="262"/>
      <c r="O4" s="263"/>
      <c r="P4" s="263"/>
      <c r="Q4" s="264"/>
      <c r="R4" s="265"/>
      <c r="S4" s="266"/>
      <c r="T4" s="267"/>
      <c r="U4" s="268">
        <v>13</v>
      </c>
      <c r="V4" s="269">
        <f t="shared" ref="V4:V42" si="0">V5*(1+$J$7)</f>
        <v>14737.729603899152</v>
      </c>
      <c r="X4" s="320"/>
      <c r="Y4" s="321"/>
      <c r="Z4" s="321"/>
      <c r="AA4" s="322">
        <v>13</v>
      </c>
      <c r="AB4" s="323">
        <f>V4</f>
        <v>14737.729603899152</v>
      </c>
      <c r="AC4" s="324"/>
      <c r="AD4" s="267"/>
      <c r="AE4" s="267"/>
      <c r="AF4" s="268">
        <v>13</v>
      </c>
      <c r="AG4" s="323">
        <f>1.3*AB4</f>
        <v>19159.048485068899</v>
      </c>
      <c r="AH4" s="324"/>
      <c r="AI4" s="267"/>
      <c r="AJ4" s="267"/>
      <c r="AK4" s="268">
        <v>13</v>
      </c>
      <c r="AL4" s="325">
        <f>1.52*AB4</f>
        <v>22401.348997926711</v>
      </c>
      <c r="AM4" s="324"/>
      <c r="AN4" s="267"/>
      <c r="AO4" s="267"/>
      <c r="AP4" s="268">
        <v>13</v>
      </c>
      <c r="AQ4" s="325">
        <f>1.75*AB4</f>
        <v>25791.026806823516</v>
      </c>
    </row>
    <row r="5" spans="1:43" ht="15.75" x14ac:dyDescent="0.25">
      <c r="A5" s="270">
        <v>39</v>
      </c>
      <c r="B5" s="271"/>
      <c r="C5" s="272"/>
      <c r="D5" s="272"/>
      <c r="E5" s="273"/>
      <c r="F5" s="274"/>
      <c r="G5" s="275"/>
      <c r="H5" s="275"/>
      <c r="I5" s="276"/>
      <c r="J5" s="277"/>
      <c r="K5" s="278"/>
      <c r="L5" s="278"/>
      <c r="M5" s="279"/>
      <c r="N5" s="280"/>
      <c r="O5" s="281"/>
      <c r="P5" s="281"/>
      <c r="Q5" s="282"/>
      <c r="R5" s="283"/>
      <c r="S5" s="284"/>
      <c r="T5" s="284">
        <v>13</v>
      </c>
      <c r="U5" s="285">
        <v>12</v>
      </c>
      <c r="V5" s="286">
        <f t="shared" si="0"/>
        <v>14035.93295609443</v>
      </c>
      <c r="X5" s="326"/>
      <c r="Y5" s="327"/>
      <c r="Z5" s="327">
        <v>13</v>
      </c>
      <c r="AA5" s="328">
        <v>12</v>
      </c>
      <c r="AB5" s="329">
        <f>V5</f>
        <v>14035.93295609443</v>
      </c>
      <c r="AC5" s="330"/>
      <c r="AD5" s="284"/>
      <c r="AE5" s="284">
        <v>13</v>
      </c>
      <c r="AF5" s="285">
        <v>12</v>
      </c>
      <c r="AG5" s="329">
        <f>1.3*AB5</f>
        <v>18246.71284292276</v>
      </c>
      <c r="AH5" s="330"/>
      <c r="AI5" s="284"/>
      <c r="AJ5" s="284">
        <v>13</v>
      </c>
      <c r="AK5" s="285">
        <v>12</v>
      </c>
      <c r="AL5" s="331">
        <f>1.52*AB5</f>
        <v>21334.618093263533</v>
      </c>
      <c r="AM5" s="330"/>
      <c r="AN5" s="284"/>
      <c r="AO5" s="284">
        <v>13</v>
      </c>
      <c r="AP5" s="285">
        <v>12</v>
      </c>
      <c r="AQ5" s="331">
        <f t="shared" ref="AQ5:AQ19" si="1">1.75*AB5</f>
        <v>24562.882673165252</v>
      </c>
    </row>
    <row r="6" spans="1:43" ht="15.75" x14ac:dyDescent="0.25">
      <c r="A6" s="270">
        <v>38</v>
      </c>
      <c r="B6" s="271"/>
      <c r="C6" s="272"/>
      <c r="D6" s="272"/>
      <c r="E6" s="273"/>
      <c r="F6" s="502" t="s">
        <v>10</v>
      </c>
      <c r="G6" s="503"/>
      <c r="H6" s="503"/>
      <c r="I6" s="503"/>
      <c r="J6" s="503" t="s">
        <v>11</v>
      </c>
      <c r="K6" s="503"/>
      <c r="L6" s="503"/>
      <c r="M6" s="503"/>
      <c r="N6" s="280"/>
      <c r="O6" s="281"/>
      <c r="P6" s="281"/>
      <c r="Q6" s="282"/>
      <c r="R6" s="283"/>
      <c r="S6" s="284">
        <v>13</v>
      </c>
      <c r="T6" s="284">
        <v>12</v>
      </c>
      <c r="U6" s="285">
        <v>11</v>
      </c>
      <c r="V6" s="286">
        <f t="shared" si="0"/>
        <v>13367.555196280409</v>
      </c>
      <c r="X6" s="326"/>
      <c r="Y6" s="327">
        <v>13</v>
      </c>
      <c r="Z6" s="327">
        <v>12</v>
      </c>
      <c r="AA6" s="328">
        <v>11</v>
      </c>
      <c r="AB6" s="329">
        <f>V6</f>
        <v>13367.555196280409</v>
      </c>
      <c r="AC6" s="330"/>
      <c r="AD6" s="284">
        <v>13</v>
      </c>
      <c r="AE6" s="284">
        <v>12</v>
      </c>
      <c r="AF6" s="285">
        <v>11</v>
      </c>
      <c r="AG6" s="329">
        <f>1.3*AB6</f>
        <v>17377.821755164532</v>
      </c>
      <c r="AH6" s="330"/>
      <c r="AI6" s="284">
        <v>13</v>
      </c>
      <c r="AJ6" s="284">
        <v>12</v>
      </c>
      <c r="AK6" s="285">
        <v>11</v>
      </c>
      <c r="AL6" s="331">
        <f>1.52*AB6</f>
        <v>20318.683898346222</v>
      </c>
      <c r="AM6" s="330"/>
      <c r="AN6" s="284">
        <v>13</v>
      </c>
      <c r="AO6" s="284">
        <v>12</v>
      </c>
      <c r="AP6" s="285">
        <v>11</v>
      </c>
      <c r="AQ6" s="331">
        <f t="shared" si="1"/>
        <v>23393.221593490714</v>
      </c>
    </row>
    <row r="7" spans="1:43" ht="15.75" x14ac:dyDescent="0.25">
      <c r="A7" s="270">
        <v>37</v>
      </c>
      <c r="B7" s="271"/>
      <c r="C7" s="272"/>
      <c r="D7" s="272"/>
      <c r="E7" s="273"/>
      <c r="F7" s="504">
        <f>1446.12*(1+0.52)</f>
        <v>2198.1023999999998</v>
      </c>
      <c r="G7" s="505"/>
      <c r="H7" s="505"/>
      <c r="I7" s="505"/>
      <c r="J7" s="506">
        <v>0.05</v>
      </c>
      <c r="K7" s="506"/>
      <c r="L7" s="506"/>
      <c r="M7" s="506"/>
      <c r="N7" s="280"/>
      <c r="O7" s="281"/>
      <c r="P7" s="281"/>
      <c r="Q7" s="282"/>
      <c r="R7" s="283">
        <v>13</v>
      </c>
      <c r="S7" s="284">
        <v>12</v>
      </c>
      <c r="T7" s="284">
        <v>11</v>
      </c>
      <c r="U7" s="285">
        <v>10</v>
      </c>
      <c r="V7" s="286">
        <f t="shared" si="0"/>
        <v>12731.004948838485</v>
      </c>
      <c r="X7" s="326">
        <v>13</v>
      </c>
      <c r="Y7" s="327">
        <v>12</v>
      </c>
      <c r="Z7" s="327">
        <v>11</v>
      </c>
      <c r="AA7" s="328">
        <v>10</v>
      </c>
      <c r="AB7" s="329">
        <f t="shared" ref="AB7:AB19" si="2">V7</f>
        <v>12731.004948838485</v>
      </c>
      <c r="AC7" s="330">
        <v>13</v>
      </c>
      <c r="AD7" s="284">
        <v>12</v>
      </c>
      <c r="AE7" s="284">
        <v>11</v>
      </c>
      <c r="AF7" s="285">
        <v>10</v>
      </c>
      <c r="AG7" s="329">
        <f t="shared" ref="AG7:AG19" si="3">1.3*AB7</f>
        <v>16550.30643349003</v>
      </c>
      <c r="AH7" s="330">
        <v>13</v>
      </c>
      <c r="AI7" s="284">
        <v>12</v>
      </c>
      <c r="AJ7" s="284">
        <v>11</v>
      </c>
      <c r="AK7" s="285">
        <v>10</v>
      </c>
      <c r="AL7" s="331">
        <f t="shared" ref="AL7:AL19" si="4">1.52*AB7</f>
        <v>19351.127522234496</v>
      </c>
      <c r="AM7" s="330">
        <v>13</v>
      </c>
      <c r="AN7" s="284">
        <v>12</v>
      </c>
      <c r="AO7" s="284">
        <v>11</v>
      </c>
      <c r="AP7" s="285">
        <v>10</v>
      </c>
      <c r="AQ7" s="331">
        <f t="shared" si="1"/>
        <v>22279.258660467349</v>
      </c>
    </row>
    <row r="8" spans="1:43" ht="15.75" x14ac:dyDescent="0.25">
      <c r="A8" s="270">
        <v>36</v>
      </c>
      <c r="B8" s="271"/>
      <c r="C8" s="272"/>
      <c r="D8" s="272"/>
      <c r="E8" s="273"/>
      <c r="F8" s="274"/>
      <c r="G8" s="275"/>
      <c r="H8" s="275"/>
      <c r="I8" s="276"/>
      <c r="J8" s="277"/>
      <c r="K8" s="278"/>
      <c r="L8" s="278"/>
      <c r="M8" s="279"/>
      <c r="N8" s="280"/>
      <c r="O8" s="281"/>
      <c r="P8" s="281"/>
      <c r="Q8" s="282"/>
      <c r="R8" s="283">
        <v>12</v>
      </c>
      <c r="S8" s="284">
        <v>11</v>
      </c>
      <c r="T8" s="284">
        <v>10</v>
      </c>
      <c r="U8" s="285">
        <v>9</v>
      </c>
      <c r="V8" s="286">
        <f t="shared" si="0"/>
        <v>12124.766617941414</v>
      </c>
      <c r="X8" s="326">
        <v>12</v>
      </c>
      <c r="Y8" s="327">
        <v>11</v>
      </c>
      <c r="Z8" s="327">
        <v>10</v>
      </c>
      <c r="AA8" s="328">
        <v>9</v>
      </c>
      <c r="AB8" s="329">
        <f t="shared" si="2"/>
        <v>12124.766617941414</v>
      </c>
      <c r="AC8" s="330">
        <v>12</v>
      </c>
      <c r="AD8" s="284">
        <v>11</v>
      </c>
      <c r="AE8" s="284">
        <v>10</v>
      </c>
      <c r="AF8" s="285">
        <v>9</v>
      </c>
      <c r="AG8" s="329">
        <f t="shared" si="3"/>
        <v>15762.196603323839</v>
      </c>
      <c r="AH8" s="330">
        <v>12</v>
      </c>
      <c r="AI8" s="284">
        <v>11</v>
      </c>
      <c r="AJ8" s="284">
        <v>10</v>
      </c>
      <c r="AK8" s="285">
        <v>9</v>
      </c>
      <c r="AL8" s="331">
        <f t="shared" si="4"/>
        <v>18429.64525927095</v>
      </c>
      <c r="AM8" s="330">
        <v>12</v>
      </c>
      <c r="AN8" s="284">
        <v>11</v>
      </c>
      <c r="AO8" s="284">
        <v>10</v>
      </c>
      <c r="AP8" s="285">
        <v>9</v>
      </c>
      <c r="AQ8" s="331">
        <f t="shared" si="1"/>
        <v>21218.341581397475</v>
      </c>
    </row>
    <row r="9" spans="1:43" ht="15.75" x14ac:dyDescent="0.25">
      <c r="A9" s="270">
        <v>35</v>
      </c>
      <c r="B9" s="271"/>
      <c r="C9" s="272"/>
      <c r="D9" s="272"/>
      <c r="E9" s="273"/>
      <c r="F9" s="274"/>
      <c r="G9" s="275"/>
      <c r="H9" s="275"/>
      <c r="I9" s="276"/>
      <c r="J9" s="277"/>
      <c r="K9" s="278"/>
      <c r="L9" s="278"/>
      <c r="M9" s="279"/>
      <c r="N9" s="280"/>
      <c r="O9" s="281"/>
      <c r="P9" s="281"/>
      <c r="Q9" s="282"/>
      <c r="R9" s="283">
        <v>11</v>
      </c>
      <c r="S9" s="284">
        <v>10</v>
      </c>
      <c r="T9" s="284">
        <v>9</v>
      </c>
      <c r="U9" s="285">
        <v>8</v>
      </c>
      <c r="V9" s="286">
        <f t="shared" si="0"/>
        <v>11547.396778991822</v>
      </c>
      <c r="X9" s="326">
        <v>11</v>
      </c>
      <c r="Y9" s="327">
        <v>10</v>
      </c>
      <c r="Z9" s="327">
        <v>9</v>
      </c>
      <c r="AA9" s="328">
        <v>8</v>
      </c>
      <c r="AB9" s="329">
        <f t="shared" si="2"/>
        <v>11547.396778991822</v>
      </c>
      <c r="AC9" s="330">
        <v>11</v>
      </c>
      <c r="AD9" s="284">
        <v>10</v>
      </c>
      <c r="AE9" s="284">
        <v>9</v>
      </c>
      <c r="AF9" s="285">
        <v>8</v>
      </c>
      <c r="AG9" s="329">
        <f t="shared" si="3"/>
        <v>15011.61581268937</v>
      </c>
      <c r="AH9" s="330">
        <v>11</v>
      </c>
      <c r="AI9" s="284">
        <v>10</v>
      </c>
      <c r="AJ9" s="284">
        <v>9</v>
      </c>
      <c r="AK9" s="285">
        <v>8</v>
      </c>
      <c r="AL9" s="331">
        <f t="shared" si="4"/>
        <v>17552.043104067568</v>
      </c>
      <c r="AM9" s="330">
        <v>11</v>
      </c>
      <c r="AN9" s="284">
        <v>10</v>
      </c>
      <c r="AO9" s="284">
        <v>9</v>
      </c>
      <c r="AP9" s="285">
        <v>8</v>
      </c>
      <c r="AQ9" s="331">
        <f t="shared" si="1"/>
        <v>20207.944363235689</v>
      </c>
    </row>
    <row r="10" spans="1:43" ht="15.75" x14ac:dyDescent="0.25">
      <c r="A10" s="270">
        <v>34</v>
      </c>
      <c r="B10" s="271"/>
      <c r="C10" s="272"/>
      <c r="D10" s="272"/>
      <c r="E10" s="273"/>
      <c r="F10" s="274"/>
      <c r="G10" s="275"/>
      <c r="H10" s="275"/>
      <c r="I10" s="276"/>
      <c r="J10" s="277"/>
      <c r="K10" s="278"/>
      <c r="L10" s="278"/>
      <c r="M10" s="279"/>
      <c r="N10" s="280"/>
      <c r="O10" s="281"/>
      <c r="P10" s="281"/>
      <c r="Q10" s="282">
        <v>13</v>
      </c>
      <c r="R10" s="283">
        <v>10</v>
      </c>
      <c r="S10" s="284">
        <v>9</v>
      </c>
      <c r="T10" s="284">
        <v>8</v>
      </c>
      <c r="U10" s="285">
        <v>7</v>
      </c>
      <c r="V10" s="286">
        <f t="shared" si="0"/>
        <v>10997.520741896973</v>
      </c>
      <c r="X10" s="326">
        <v>10</v>
      </c>
      <c r="Y10" s="327">
        <v>9</v>
      </c>
      <c r="Z10" s="327">
        <v>8</v>
      </c>
      <c r="AA10" s="328">
        <v>7</v>
      </c>
      <c r="AB10" s="329">
        <f t="shared" si="2"/>
        <v>10997.520741896973</v>
      </c>
      <c r="AC10" s="330">
        <v>10</v>
      </c>
      <c r="AD10" s="284">
        <v>9</v>
      </c>
      <c r="AE10" s="284">
        <v>8</v>
      </c>
      <c r="AF10" s="285">
        <v>7</v>
      </c>
      <c r="AG10" s="329">
        <f t="shared" si="3"/>
        <v>14296.776964466066</v>
      </c>
      <c r="AH10" s="330">
        <v>10</v>
      </c>
      <c r="AI10" s="284">
        <v>9</v>
      </c>
      <c r="AJ10" s="284">
        <v>8</v>
      </c>
      <c r="AK10" s="285">
        <v>7</v>
      </c>
      <c r="AL10" s="331">
        <f t="shared" si="4"/>
        <v>16716.231527683398</v>
      </c>
      <c r="AM10" s="330">
        <v>10</v>
      </c>
      <c r="AN10" s="284">
        <v>9</v>
      </c>
      <c r="AO10" s="284">
        <v>8</v>
      </c>
      <c r="AP10" s="285">
        <v>7</v>
      </c>
      <c r="AQ10" s="331">
        <f t="shared" si="1"/>
        <v>19245.661298319705</v>
      </c>
    </row>
    <row r="11" spans="1:43" ht="15.75" x14ac:dyDescent="0.25">
      <c r="A11" s="270">
        <v>33</v>
      </c>
      <c r="B11" s="271"/>
      <c r="C11" s="272"/>
      <c r="D11" s="272"/>
      <c r="E11" s="273"/>
      <c r="F11" s="274"/>
      <c r="G11" s="275"/>
      <c r="H11" s="275"/>
      <c r="I11" s="276"/>
      <c r="J11" s="277"/>
      <c r="K11" s="278"/>
      <c r="L11" s="278"/>
      <c r="M11" s="279"/>
      <c r="N11" s="280"/>
      <c r="O11" s="281"/>
      <c r="P11" s="281">
        <v>13</v>
      </c>
      <c r="Q11" s="282">
        <v>12</v>
      </c>
      <c r="R11" s="283">
        <v>9</v>
      </c>
      <c r="S11" s="284">
        <v>8</v>
      </c>
      <c r="T11" s="284">
        <v>7</v>
      </c>
      <c r="U11" s="285">
        <v>6</v>
      </c>
      <c r="V11" s="286">
        <f t="shared" si="0"/>
        <v>10473.829277997116</v>
      </c>
      <c r="X11" s="326">
        <v>9</v>
      </c>
      <c r="Y11" s="327">
        <v>8</v>
      </c>
      <c r="Z11" s="327">
        <v>7</v>
      </c>
      <c r="AA11" s="328">
        <v>6</v>
      </c>
      <c r="AB11" s="329">
        <f t="shared" si="2"/>
        <v>10473.829277997116</v>
      </c>
      <c r="AC11" s="330">
        <v>9</v>
      </c>
      <c r="AD11" s="284">
        <v>8</v>
      </c>
      <c r="AE11" s="284">
        <v>7</v>
      </c>
      <c r="AF11" s="285">
        <v>6</v>
      </c>
      <c r="AG11" s="329">
        <f t="shared" si="3"/>
        <v>13615.978061396252</v>
      </c>
      <c r="AH11" s="330">
        <v>9</v>
      </c>
      <c r="AI11" s="284">
        <v>8</v>
      </c>
      <c r="AJ11" s="284">
        <v>7</v>
      </c>
      <c r="AK11" s="285">
        <v>6</v>
      </c>
      <c r="AL11" s="331">
        <f t="shared" si="4"/>
        <v>15920.220502555616</v>
      </c>
      <c r="AM11" s="330">
        <v>9</v>
      </c>
      <c r="AN11" s="284">
        <v>8</v>
      </c>
      <c r="AO11" s="284">
        <v>7</v>
      </c>
      <c r="AP11" s="285">
        <v>6</v>
      </c>
      <c r="AQ11" s="331">
        <f t="shared" si="1"/>
        <v>18329.201236494955</v>
      </c>
    </row>
    <row r="12" spans="1:43" ht="15.75" x14ac:dyDescent="0.25">
      <c r="A12" s="270">
        <v>32</v>
      </c>
      <c r="B12" s="271"/>
      <c r="C12" s="272"/>
      <c r="D12" s="272"/>
      <c r="E12" s="273"/>
      <c r="F12" s="274"/>
      <c r="G12" s="275"/>
      <c r="H12" s="275"/>
      <c r="I12" s="276"/>
      <c r="J12" s="277"/>
      <c r="K12" s="278"/>
      <c r="L12" s="278"/>
      <c r="M12" s="279"/>
      <c r="N12" s="280"/>
      <c r="O12" s="281">
        <v>13</v>
      </c>
      <c r="P12" s="281">
        <v>12</v>
      </c>
      <c r="Q12" s="282">
        <v>11</v>
      </c>
      <c r="R12" s="283">
        <v>8</v>
      </c>
      <c r="S12" s="284">
        <v>7</v>
      </c>
      <c r="T12" s="284">
        <v>6</v>
      </c>
      <c r="U12" s="285">
        <v>5</v>
      </c>
      <c r="V12" s="286">
        <f t="shared" si="0"/>
        <v>9975.0755028543954</v>
      </c>
      <c r="X12" s="326">
        <v>8</v>
      </c>
      <c r="Y12" s="327">
        <v>7</v>
      </c>
      <c r="Z12" s="327">
        <v>6</v>
      </c>
      <c r="AA12" s="328">
        <v>5</v>
      </c>
      <c r="AB12" s="329">
        <f t="shared" si="2"/>
        <v>9975.0755028543954</v>
      </c>
      <c r="AC12" s="330">
        <v>8</v>
      </c>
      <c r="AD12" s="284">
        <v>7</v>
      </c>
      <c r="AE12" s="284">
        <v>6</v>
      </c>
      <c r="AF12" s="285">
        <v>5</v>
      </c>
      <c r="AG12" s="329">
        <f t="shared" si="3"/>
        <v>12967.598153710715</v>
      </c>
      <c r="AH12" s="330">
        <v>8</v>
      </c>
      <c r="AI12" s="284">
        <v>7</v>
      </c>
      <c r="AJ12" s="284">
        <v>6</v>
      </c>
      <c r="AK12" s="285">
        <v>5</v>
      </c>
      <c r="AL12" s="331">
        <f t="shared" si="4"/>
        <v>15162.114764338681</v>
      </c>
      <c r="AM12" s="330">
        <v>8</v>
      </c>
      <c r="AN12" s="284">
        <v>7</v>
      </c>
      <c r="AO12" s="284">
        <v>6</v>
      </c>
      <c r="AP12" s="285">
        <v>5</v>
      </c>
      <c r="AQ12" s="331">
        <f t="shared" si="1"/>
        <v>17456.382129995192</v>
      </c>
    </row>
    <row r="13" spans="1:43" ht="15.75" x14ac:dyDescent="0.25">
      <c r="A13" s="270">
        <v>31</v>
      </c>
      <c r="B13" s="271"/>
      <c r="C13" s="272"/>
      <c r="D13" s="272"/>
      <c r="E13" s="273"/>
      <c r="F13" s="274"/>
      <c r="G13" s="275"/>
      <c r="H13" s="275"/>
      <c r="I13" s="276"/>
      <c r="J13" s="277"/>
      <c r="K13" s="278"/>
      <c r="L13" s="278"/>
      <c r="M13" s="279"/>
      <c r="N13" s="280">
        <v>13</v>
      </c>
      <c r="O13" s="281">
        <v>12</v>
      </c>
      <c r="P13" s="281">
        <v>11</v>
      </c>
      <c r="Q13" s="282">
        <v>10</v>
      </c>
      <c r="R13" s="283">
        <v>7</v>
      </c>
      <c r="S13" s="284">
        <v>6</v>
      </c>
      <c r="T13" s="284">
        <v>5</v>
      </c>
      <c r="U13" s="285">
        <v>4</v>
      </c>
      <c r="V13" s="286">
        <f t="shared" si="0"/>
        <v>9500.0719074803765</v>
      </c>
      <c r="X13" s="326">
        <v>7</v>
      </c>
      <c r="Y13" s="327">
        <v>6</v>
      </c>
      <c r="Z13" s="327">
        <v>5</v>
      </c>
      <c r="AA13" s="328">
        <v>4</v>
      </c>
      <c r="AB13" s="329">
        <f t="shared" si="2"/>
        <v>9500.0719074803765</v>
      </c>
      <c r="AC13" s="330">
        <v>7</v>
      </c>
      <c r="AD13" s="284">
        <v>6</v>
      </c>
      <c r="AE13" s="284">
        <v>5</v>
      </c>
      <c r="AF13" s="285">
        <v>4</v>
      </c>
      <c r="AG13" s="329">
        <f t="shared" si="3"/>
        <v>12350.09347972449</v>
      </c>
      <c r="AH13" s="330">
        <v>7</v>
      </c>
      <c r="AI13" s="284">
        <v>6</v>
      </c>
      <c r="AJ13" s="284">
        <v>5</v>
      </c>
      <c r="AK13" s="285">
        <v>4</v>
      </c>
      <c r="AL13" s="331">
        <f t="shared" si="4"/>
        <v>14440.109299370173</v>
      </c>
      <c r="AM13" s="330">
        <v>7</v>
      </c>
      <c r="AN13" s="284">
        <v>6</v>
      </c>
      <c r="AO13" s="284">
        <v>5</v>
      </c>
      <c r="AP13" s="285">
        <v>4</v>
      </c>
      <c r="AQ13" s="331">
        <f t="shared" si="1"/>
        <v>16625.125838090658</v>
      </c>
    </row>
    <row r="14" spans="1:43" ht="15.75" x14ac:dyDescent="0.25">
      <c r="A14" s="270">
        <v>30</v>
      </c>
      <c r="B14" s="271"/>
      <c r="C14" s="272"/>
      <c r="D14" s="272"/>
      <c r="E14" s="273"/>
      <c r="F14" s="274"/>
      <c r="G14" s="275"/>
      <c r="H14" s="275"/>
      <c r="I14" s="276"/>
      <c r="J14" s="277"/>
      <c r="K14" s="278"/>
      <c r="L14" s="278"/>
      <c r="M14" s="279"/>
      <c r="N14" s="280">
        <v>12</v>
      </c>
      <c r="O14" s="281">
        <v>11</v>
      </c>
      <c r="P14" s="281">
        <v>10</v>
      </c>
      <c r="Q14" s="282">
        <v>9</v>
      </c>
      <c r="R14" s="283">
        <v>6</v>
      </c>
      <c r="S14" s="284">
        <v>5</v>
      </c>
      <c r="T14" s="284">
        <v>4</v>
      </c>
      <c r="U14" s="285">
        <v>3</v>
      </c>
      <c r="V14" s="286">
        <f t="shared" si="0"/>
        <v>9047.687530933692</v>
      </c>
      <c r="X14" s="326">
        <v>6</v>
      </c>
      <c r="Y14" s="327">
        <v>5</v>
      </c>
      <c r="Z14" s="327">
        <v>4</v>
      </c>
      <c r="AA14" s="328">
        <v>3</v>
      </c>
      <c r="AB14" s="329">
        <f t="shared" si="2"/>
        <v>9047.687530933692</v>
      </c>
      <c r="AC14" s="330">
        <v>6</v>
      </c>
      <c r="AD14" s="284">
        <v>5</v>
      </c>
      <c r="AE14" s="284">
        <v>4</v>
      </c>
      <c r="AF14" s="285">
        <v>3</v>
      </c>
      <c r="AG14" s="329">
        <f t="shared" si="3"/>
        <v>11761.993790213801</v>
      </c>
      <c r="AH14" s="330">
        <v>6</v>
      </c>
      <c r="AI14" s="284">
        <v>5</v>
      </c>
      <c r="AJ14" s="284">
        <v>4</v>
      </c>
      <c r="AK14" s="285">
        <v>3</v>
      </c>
      <c r="AL14" s="331">
        <f t="shared" si="4"/>
        <v>13752.485047019212</v>
      </c>
      <c r="AM14" s="330">
        <v>6</v>
      </c>
      <c r="AN14" s="284">
        <v>5</v>
      </c>
      <c r="AO14" s="284">
        <v>4</v>
      </c>
      <c r="AP14" s="285">
        <v>3</v>
      </c>
      <c r="AQ14" s="331">
        <f t="shared" si="1"/>
        <v>15833.453179133961</v>
      </c>
    </row>
    <row r="15" spans="1:43" ht="15.75" x14ac:dyDescent="0.25">
      <c r="A15" s="270">
        <v>29</v>
      </c>
      <c r="B15" s="271"/>
      <c r="C15" s="272"/>
      <c r="D15" s="272"/>
      <c r="E15" s="273"/>
      <c r="F15" s="274"/>
      <c r="G15" s="275"/>
      <c r="H15" s="275"/>
      <c r="I15" s="276"/>
      <c r="J15" s="277"/>
      <c r="K15" s="278"/>
      <c r="L15" s="278"/>
      <c r="M15" s="279"/>
      <c r="N15" s="280">
        <v>11</v>
      </c>
      <c r="O15" s="281">
        <v>10</v>
      </c>
      <c r="P15" s="281">
        <v>9</v>
      </c>
      <c r="Q15" s="282">
        <v>8</v>
      </c>
      <c r="R15" s="283">
        <v>5</v>
      </c>
      <c r="S15" s="284">
        <v>4</v>
      </c>
      <c r="T15" s="284">
        <v>3</v>
      </c>
      <c r="U15" s="285">
        <v>2</v>
      </c>
      <c r="V15" s="286">
        <f t="shared" si="0"/>
        <v>8616.8452675558965</v>
      </c>
      <c r="X15" s="326">
        <v>5</v>
      </c>
      <c r="Y15" s="327">
        <v>4</v>
      </c>
      <c r="Z15" s="327">
        <v>3</v>
      </c>
      <c r="AA15" s="328">
        <v>2</v>
      </c>
      <c r="AB15" s="329">
        <f t="shared" si="2"/>
        <v>8616.8452675558965</v>
      </c>
      <c r="AC15" s="330">
        <v>5</v>
      </c>
      <c r="AD15" s="284">
        <v>4</v>
      </c>
      <c r="AE15" s="284">
        <v>3</v>
      </c>
      <c r="AF15" s="285">
        <v>2</v>
      </c>
      <c r="AG15" s="329">
        <f t="shared" si="3"/>
        <v>11201.898847822666</v>
      </c>
      <c r="AH15" s="330">
        <v>5</v>
      </c>
      <c r="AI15" s="284">
        <v>4</v>
      </c>
      <c r="AJ15" s="284">
        <v>3</v>
      </c>
      <c r="AK15" s="285">
        <v>2</v>
      </c>
      <c r="AL15" s="331">
        <f t="shared" si="4"/>
        <v>13097.604806684963</v>
      </c>
      <c r="AM15" s="330">
        <v>5</v>
      </c>
      <c r="AN15" s="284">
        <v>4</v>
      </c>
      <c r="AO15" s="284">
        <v>3</v>
      </c>
      <c r="AP15" s="285">
        <v>2</v>
      </c>
      <c r="AQ15" s="331">
        <f t="shared" si="1"/>
        <v>15079.479218222819</v>
      </c>
    </row>
    <row r="16" spans="1:43" ht="15.75" x14ac:dyDescent="0.25">
      <c r="A16" s="270">
        <v>28</v>
      </c>
      <c r="B16" s="271"/>
      <c r="C16" s="272"/>
      <c r="D16" s="272"/>
      <c r="E16" s="273"/>
      <c r="F16" s="274"/>
      <c r="G16" s="275"/>
      <c r="H16" s="275"/>
      <c r="I16" s="276"/>
      <c r="J16" s="277"/>
      <c r="K16" s="278"/>
      <c r="L16" s="278"/>
      <c r="M16" s="279">
        <v>13</v>
      </c>
      <c r="N16" s="280">
        <v>10</v>
      </c>
      <c r="O16" s="281">
        <v>9</v>
      </c>
      <c r="P16" s="281">
        <v>8</v>
      </c>
      <c r="Q16" s="287">
        <v>7</v>
      </c>
      <c r="R16" s="283">
        <v>4</v>
      </c>
      <c r="S16" s="284">
        <v>3</v>
      </c>
      <c r="T16" s="284">
        <v>2</v>
      </c>
      <c r="U16" s="285">
        <v>1</v>
      </c>
      <c r="V16" s="286">
        <f t="shared" si="0"/>
        <v>8206.5193024341861</v>
      </c>
      <c r="X16" s="326">
        <v>4</v>
      </c>
      <c r="Y16" s="327">
        <v>3</v>
      </c>
      <c r="Z16" s="327">
        <v>2</v>
      </c>
      <c r="AA16" s="328">
        <v>1</v>
      </c>
      <c r="AB16" s="329">
        <f t="shared" si="2"/>
        <v>8206.5193024341861</v>
      </c>
      <c r="AC16" s="330">
        <v>4</v>
      </c>
      <c r="AD16" s="284">
        <v>3</v>
      </c>
      <c r="AE16" s="284">
        <v>2</v>
      </c>
      <c r="AF16" s="285">
        <v>1</v>
      </c>
      <c r="AG16" s="329">
        <f t="shared" si="3"/>
        <v>10668.475093164443</v>
      </c>
      <c r="AH16" s="330">
        <v>4</v>
      </c>
      <c r="AI16" s="284">
        <v>3</v>
      </c>
      <c r="AJ16" s="284">
        <v>2</v>
      </c>
      <c r="AK16" s="285">
        <v>1</v>
      </c>
      <c r="AL16" s="331">
        <f t="shared" si="4"/>
        <v>12473.909339699963</v>
      </c>
      <c r="AM16" s="330">
        <v>4</v>
      </c>
      <c r="AN16" s="284">
        <v>3</v>
      </c>
      <c r="AO16" s="284">
        <v>2</v>
      </c>
      <c r="AP16" s="285">
        <v>1</v>
      </c>
      <c r="AQ16" s="331">
        <f t="shared" si="1"/>
        <v>14361.408779259826</v>
      </c>
    </row>
    <row r="17" spans="1:43" ht="15.75" x14ac:dyDescent="0.25">
      <c r="A17" s="270">
        <v>27</v>
      </c>
      <c r="B17" s="271"/>
      <c r="C17" s="272"/>
      <c r="D17" s="272"/>
      <c r="E17" s="273"/>
      <c r="F17" s="274"/>
      <c r="G17" s="275"/>
      <c r="H17" s="275"/>
      <c r="I17" s="276"/>
      <c r="J17" s="277"/>
      <c r="K17" s="278"/>
      <c r="L17" s="278">
        <v>13</v>
      </c>
      <c r="M17" s="279">
        <v>12</v>
      </c>
      <c r="N17" s="280">
        <v>9</v>
      </c>
      <c r="O17" s="281">
        <v>8</v>
      </c>
      <c r="P17" s="281">
        <v>7</v>
      </c>
      <c r="Q17" s="282">
        <v>6</v>
      </c>
      <c r="R17" s="283">
        <v>3</v>
      </c>
      <c r="S17" s="284">
        <v>2</v>
      </c>
      <c r="T17" s="284">
        <v>1</v>
      </c>
      <c r="U17" s="285"/>
      <c r="V17" s="286">
        <f t="shared" si="0"/>
        <v>7815.7326689849397</v>
      </c>
      <c r="X17" s="326">
        <v>3</v>
      </c>
      <c r="Y17" s="327">
        <v>2</v>
      </c>
      <c r="Z17" s="327">
        <v>1</v>
      </c>
      <c r="AA17" s="328"/>
      <c r="AB17" s="329">
        <f t="shared" si="2"/>
        <v>7815.7326689849397</v>
      </c>
      <c r="AC17" s="330">
        <v>3</v>
      </c>
      <c r="AD17" s="284">
        <v>2</v>
      </c>
      <c r="AE17" s="284">
        <v>1</v>
      </c>
      <c r="AF17" s="285"/>
      <c r="AG17" s="329">
        <f t="shared" si="3"/>
        <v>10160.452469680422</v>
      </c>
      <c r="AH17" s="330">
        <v>3</v>
      </c>
      <c r="AI17" s="284">
        <v>2</v>
      </c>
      <c r="AJ17" s="284">
        <v>1</v>
      </c>
      <c r="AK17" s="285"/>
      <c r="AL17" s="331">
        <f t="shared" si="4"/>
        <v>11879.913656857108</v>
      </c>
      <c r="AM17" s="330">
        <v>3</v>
      </c>
      <c r="AN17" s="284">
        <v>2</v>
      </c>
      <c r="AO17" s="284">
        <v>1</v>
      </c>
      <c r="AP17" s="285"/>
      <c r="AQ17" s="331">
        <f t="shared" si="1"/>
        <v>13677.532170723644</v>
      </c>
    </row>
    <row r="18" spans="1:43" ht="15.75" x14ac:dyDescent="0.25">
      <c r="A18" s="270">
        <v>26</v>
      </c>
      <c r="B18" s="271"/>
      <c r="C18" s="272"/>
      <c r="D18" s="272"/>
      <c r="E18" s="273"/>
      <c r="F18" s="274"/>
      <c r="G18" s="275"/>
      <c r="H18" s="275"/>
      <c r="I18" s="276"/>
      <c r="J18" s="277"/>
      <c r="K18" s="278">
        <v>13</v>
      </c>
      <c r="L18" s="278">
        <v>12</v>
      </c>
      <c r="M18" s="279">
        <v>11</v>
      </c>
      <c r="N18" s="280">
        <v>8</v>
      </c>
      <c r="O18" s="281">
        <v>7</v>
      </c>
      <c r="P18" s="281">
        <v>6</v>
      </c>
      <c r="Q18" s="282">
        <v>5</v>
      </c>
      <c r="R18" s="283">
        <v>2</v>
      </c>
      <c r="S18" s="284">
        <v>1</v>
      </c>
      <c r="T18" s="288"/>
      <c r="U18" s="285"/>
      <c r="V18" s="286">
        <f>V19*(1+$J$7)</f>
        <v>7443.554922842799</v>
      </c>
      <c r="X18" s="326">
        <v>2</v>
      </c>
      <c r="Y18" s="327">
        <v>1</v>
      </c>
      <c r="Z18" s="327"/>
      <c r="AA18" s="328"/>
      <c r="AB18" s="329">
        <f t="shared" si="2"/>
        <v>7443.554922842799</v>
      </c>
      <c r="AC18" s="330">
        <v>2</v>
      </c>
      <c r="AD18" s="284">
        <v>1</v>
      </c>
      <c r="AE18" s="284"/>
      <c r="AF18" s="285"/>
      <c r="AG18" s="329">
        <f t="shared" si="3"/>
        <v>9676.6213996956394</v>
      </c>
      <c r="AH18" s="330">
        <v>2</v>
      </c>
      <c r="AI18" s="284">
        <v>1</v>
      </c>
      <c r="AJ18" s="284"/>
      <c r="AK18" s="285"/>
      <c r="AL18" s="331">
        <f t="shared" si="4"/>
        <v>11314.203482721055</v>
      </c>
      <c r="AM18" s="330">
        <v>2</v>
      </c>
      <c r="AN18" s="284">
        <v>1</v>
      </c>
      <c r="AO18" s="284"/>
      <c r="AP18" s="285"/>
      <c r="AQ18" s="331">
        <f t="shared" si="1"/>
        <v>13026.221114974898</v>
      </c>
    </row>
    <row r="19" spans="1:43" ht="16.5" thickBot="1" x14ac:dyDescent="0.3">
      <c r="A19" s="270">
        <v>25</v>
      </c>
      <c r="B19" s="271"/>
      <c r="C19" s="272"/>
      <c r="D19" s="272"/>
      <c r="E19" s="273"/>
      <c r="F19" s="274"/>
      <c r="G19" s="275"/>
      <c r="H19" s="275"/>
      <c r="I19" s="276"/>
      <c r="J19" s="277">
        <v>13</v>
      </c>
      <c r="K19" s="278">
        <v>12</v>
      </c>
      <c r="L19" s="278">
        <v>11</v>
      </c>
      <c r="M19" s="279">
        <v>10</v>
      </c>
      <c r="N19" s="280">
        <v>7</v>
      </c>
      <c r="O19" s="281">
        <v>6</v>
      </c>
      <c r="P19" s="281">
        <v>5</v>
      </c>
      <c r="Q19" s="282">
        <v>4</v>
      </c>
      <c r="R19" s="289">
        <v>1</v>
      </c>
      <c r="S19" s="288"/>
      <c r="T19" s="288"/>
      <c r="U19" s="290"/>
      <c r="V19" s="286">
        <f t="shared" si="0"/>
        <v>7089.0999265169512</v>
      </c>
      <c r="X19" s="332">
        <v>1</v>
      </c>
      <c r="Y19" s="333"/>
      <c r="Z19" s="333"/>
      <c r="AA19" s="334"/>
      <c r="AB19" s="335">
        <f t="shared" si="2"/>
        <v>7089.0999265169512</v>
      </c>
      <c r="AC19" s="336">
        <v>1</v>
      </c>
      <c r="AD19" s="337"/>
      <c r="AE19" s="337"/>
      <c r="AF19" s="338"/>
      <c r="AG19" s="335">
        <f t="shared" si="3"/>
        <v>9215.829904472037</v>
      </c>
      <c r="AH19" s="336">
        <v>1</v>
      </c>
      <c r="AI19" s="337"/>
      <c r="AJ19" s="337"/>
      <c r="AK19" s="338"/>
      <c r="AL19" s="339">
        <f t="shared" si="4"/>
        <v>10775.431888305766</v>
      </c>
      <c r="AM19" s="336">
        <v>1</v>
      </c>
      <c r="AN19" s="337"/>
      <c r="AO19" s="337"/>
      <c r="AP19" s="338"/>
      <c r="AQ19" s="339">
        <f t="shared" si="1"/>
        <v>12405.924871404664</v>
      </c>
    </row>
    <row r="20" spans="1:43" ht="15.75" x14ac:dyDescent="0.25">
      <c r="A20" s="270">
        <v>24</v>
      </c>
      <c r="B20" s="271"/>
      <c r="C20" s="272"/>
      <c r="D20" s="272"/>
      <c r="E20" s="273"/>
      <c r="F20" s="274"/>
      <c r="G20" s="275"/>
      <c r="H20" s="275"/>
      <c r="I20" s="276"/>
      <c r="J20" s="277">
        <v>12</v>
      </c>
      <c r="K20" s="278">
        <v>11</v>
      </c>
      <c r="L20" s="278">
        <v>10</v>
      </c>
      <c r="M20" s="279">
        <v>9</v>
      </c>
      <c r="N20" s="280">
        <v>6</v>
      </c>
      <c r="O20" s="281">
        <v>5</v>
      </c>
      <c r="P20" s="281">
        <v>4</v>
      </c>
      <c r="Q20" s="282">
        <v>3</v>
      </c>
      <c r="R20" s="283"/>
      <c r="S20" s="284"/>
      <c r="T20" s="284"/>
      <c r="U20" s="285"/>
      <c r="V20" s="286">
        <f t="shared" si="0"/>
        <v>6751.5237395399536</v>
      </c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</row>
    <row r="21" spans="1:43" ht="16.5" thickBot="1" x14ac:dyDescent="0.3">
      <c r="A21" s="270">
        <v>23</v>
      </c>
      <c r="B21" s="271"/>
      <c r="C21" s="272"/>
      <c r="D21" s="272"/>
      <c r="E21" s="273"/>
      <c r="F21" s="274"/>
      <c r="G21" s="275"/>
      <c r="H21" s="275"/>
      <c r="I21" s="276"/>
      <c r="J21" s="277">
        <v>11</v>
      </c>
      <c r="K21" s="278">
        <v>10</v>
      </c>
      <c r="L21" s="278">
        <v>9</v>
      </c>
      <c r="M21" s="279">
        <v>8</v>
      </c>
      <c r="N21" s="280">
        <v>5</v>
      </c>
      <c r="O21" s="281">
        <v>4</v>
      </c>
      <c r="P21" s="281">
        <v>3</v>
      </c>
      <c r="Q21" s="282">
        <v>2</v>
      </c>
      <c r="R21" s="283"/>
      <c r="S21" s="284"/>
      <c r="T21" s="288"/>
      <c r="U21" s="285"/>
      <c r="V21" s="286">
        <f t="shared" si="0"/>
        <v>6430.0226090856695</v>
      </c>
      <c r="X21" s="496" t="s">
        <v>17</v>
      </c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</row>
    <row r="22" spans="1:43" ht="15.75" x14ac:dyDescent="0.25">
      <c r="A22" s="270">
        <v>22</v>
      </c>
      <c r="B22" s="271"/>
      <c r="C22" s="272"/>
      <c r="D22" s="272"/>
      <c r="E22" s="273"/>
      <c r="F22" s="274"/>
      <c r="G22" s="275"/>
      <c r="H22" s="275"/>
      <c r="I22" s="276">
        <v>13</v>
      </c>
      <c r="J22" s="277">
        <v>10</v>
      </c>
      <c r="K22" s="278">
        <v>9</v>
      </c>
      <c r="L22" s="278">
        <v>8</v>
      </c>
      <c r="M22" s="279">
        <v>7</v>
      </c>
      <c r="N22" s="280">
        <v>4</v>
      </c>
      <c r="O22" s="281">
        <v>3</v>
      </c>
      <c r="P22" s="281">
        <v>2</v>
      </c>
      <c r="Q22" s="282">
        <v>1</v>
      </c>
      <c r="R22" s="289"/>
      <c r="S22" s="288"/>
      <c r="T22" s="288"/>
      <c r="U22" s="290"/>
      <c r="V22" s="286">
        <f t="shared" si="0"/>
        <v>6123.8310562720662</v>
      </c>
      <c r="X22" s="497" t="s">
        <v>15</v>
      </c>
      <c r="Y22" s="498"/>
      <c r="Z22" s="498"/>
      <c r="AA22" s="499"/>
      <c r="AB22" s="500" t="s">
        <v>40</v>
      </c>
      <c r="AC22" s="497" t="s">
        <v>12</v>
      </c>
      <c r="AD22" s="498"/>
      <c r="AE22" s="498"/>
      <c r="AF22" s="499"/>
      <c r="AG22" s="500" t="s">
        <v>40</v>
      </c>
      <c r="AH22" s="497" t="s">
        <v>13</v>
      </c>
      <c r="AI22" s="498"/>
      <c r="AJ22" s="498"/>
      <c r="AK22" s="499"/>
      <c r="AL22" s="500" t="s">
        <v>40</v>
      </c>
      <c r="AM22" s="497" t="s">
        <v>14</v>
      </c>
      <c r="AN22" s="498"/>
      <c r="AO22" s="498"/>
      <c r="AP22" s="499"/>
      <c r="AQ22" s="450" t="s">
        <v>40</v>
      </c>
    </row>
    <row r="23" spans="1:43" ht="16.5" thickBot="1" x14ac:dyDescent="0.3">
      <c r="A23" s="270">
        <v>21</v>
      </c>
      <c r="B23" s="271"/>
      <c r="C23" s="272"/>
      <c r="D23" s="272"/>
      <c r="E23" s="273"/>
      <c r="F23" s="274"/>
      <c r="G23" s="275"/>
      <c r="H23" s="275">
        <v>13</v>
      </c>
      <c r="I23" s="276">
        <v>12</v>
      </c>
      <c r="J23" s="277">
        <v>9</v>
      </c>
      <c r="K23" s="278">
        <v>8</v>
      </c>
      <c r="L23" s="291">
        <v>7</v>
      </c>
      <c r="M23" s="279">
        <v>6</v>
      </c>
      <c r="N23" s="280">
        <v>3</v>
      </c>
      <c r="O23" s="281">
        <v>2</v>
      </c>
      <c r="P23" s="281">
        <v>1</v>
      </c>
      <c r="Q23" s="282"/>
      <c r="R23" s="289"/>
      <c r="S23" s="288"/>
      <c r="T23" s="288"/>
      <c r="U23" s="290"/>
      <c r="V23" s="286">
        <f t="shared" si="0"/>
        <v>5832.2200535924439</v>
      </c>
      <c r="X23" s="316" t="s">
        <v>6</v>
      </c>
      <c r="Y23" s="317" t="s">
        <v>7</v>
      </c>
      <c r="Z23" s="318" t="s">
        <v>8</v>
      </c>
      <c r="AA23" s="319" t="s">
        <v>9</v>
      </c>
      <c r="AB23" s="501"/>
      <c r="AC23" s="316" t="s">
        <v>6</v>
      </c>
      <c r="AD23" s="317" t="s">
        <v>7</v>
      </c>
      <c r="AE23" s="318" t="s">
        <v>8</v>
      </c>
      <c r="AF23" s="319" t="s">
        <v>9</v>
      </c>
      <c r="AG23" s="501"/>
      <c r="AH23" s="316" t="s">
        <v>6</v>
      </c>
      <c r="AI23" s="317" t="s">
        <v>7</v>
      </c>
      <c r="AJ23" s="318" t="s">
        <v>8</v>
      </c>
      <c r="AK23" s="319" t="s">
        <v>9</v>
      </c>
      <c r="AL23" s="501"/>
      <c r="AM23" s="316" t="s">
        <v>6</v>
      </c>
      <c r="AN23" s="317" t="s">
        <v>7</v>
      </c>
      <c r="AO23" s="318" t="s">
        <v>8</v>
      </c>
      <c r="AP23" s="319" t="s">
        <v>9</v>
      </c>
      <c r="AQ23" s="451"/>
    </row>
    <row r="24" spans="1:43" ht="15.75" x14ac:dyDescent="0.25">
      <c r="A24" s="270">
        <v>20</v>
      </c>
      <c r="B24" s="271"/>
      <c r="C24" s="272"/>
      <c r="D24" s="272"/>
      <c r="E24" s="273"/>
      <c r="F24" s="274"/>
      <c r="G24" s="275">
        <v>13</v>
      </c>
      <c r="H24" s="275">
        <v>12</v>
      </c>
      <c r="I24" s="276">
        <v>11</v>
      </c>
      <c r="J24" s="277">
        <v>8</v>
      </c>
      <c r="K24" s="278">
        <v>7</v>
      </c>
      <c r="L24" s="278">
        <v>6</v>
      </c>
      <c r="M24" s="279">
        <v>5</v>
      </c>
      <c r="N24" s="280">
        <v>2</v>
      </c>
      <c r="O24" s="281">
        <v>1</v>
      </c>
      <c r="P24" s="281"/>
      <c r="Q24" s="282"/>
      <c r="R24" s="289"/>
      <c r="S24" s="288"/>
      <c r="T24" s="288"/>
      <c r="U24" s="290"/>
      <c r="V24" s="286">
        <f t="shared" si="0"/>
        <v>5554.4952891356606</v>
      </c>
      <c r="X24" s="340"/>
      <c r="Y24" s="341"/>
      <c r="Z24" s="341"/>
      <c r="AA24" s="342">
        <v>13</v>
      </c>
      <c r="AB24" s="323">
        <f>AB4/2</f>
        <v>7368.8648019495758</v>
      </c>
      <c r="AC24" s="324"/>
      <c r="AD24" s="267"/>
      <c r="AE24" s="267"/>
      <c r="AF24" s="268">
        <v>13</v>
      </c>
      <c r="AG24" s="323">
        <f>1.3*AB24</f>
        <v>9579.5242425344495</v>
      </c>
      <c r="AH24" s="324"/>
      <c r="AI24" s="267"/>
      <c r="AJ24" s="267"/>
      <c r="AK24" s="268">
        <v>13</v>
      </c>
      <c r="AL24" s="325">
        <f>1.52*AB24</f>
        <v>11200.674498963355</v>
      </c>
      <c r="AM24" s="324"/>
      <c r="AN24" s="267"/>
      <c r="AO24" s="267"/>
      <c r="AP24" s="268">
        <v>13</v>
      </c>
      <c r="AQ24" s="325">
        <f>1.75*AB24</f>
        <v>12895.513403411758</v>
      </c>
    </row>
    <row r="25" spans="1:43" ht="15.75" x14ac:dyDescent="0.25">
      <c r="A25" s="270">
        <v>19</v>
      </c>
      <c r="B25" s="271"/>
      <c r="C25" s="272"/>
      <c r="D25" s="272"/>
      <c r="E25" s="273"/>
      <c r="F25" s="274">
        <v>13</v>
      </c>
      <c r="G25" s="275">
        <v>12</v>
      </c>
      <c r="H25" s="275">
        <v>11</v>
      </c>
      <c r="I25" s="276">
        <v>10</v>
      </c>
      <c r="J25" s="277">
        <v>7</v>
      </c>
      <c r="K25" s="278">
        <v>6</v>
      </c>
      <c r="L25" s="278">
        <v>5</v>
      </c>
      <c r="M25" s="279">
        <v>4</v>
      </c>
      <c r="N25" s="292">
        <v>1</v>
      </c>
      <c r="O25" s="293"/>
      <c r="P25" s="293"/>
      <c r="Q25" s="287"/>
      <c r="R25" s="289"/>
      <c r="S25" s="288"/>
      <c r="T25" s="288"/>
      <c r="U25" s="290"/>
      <c r="V25" s="286">
        <f t="shared" si="0"/>
        <v>5289.9955134625334</v>
      </c>
      <c r="X25" s="326"/>
      <c r="Y25" s="327"/>
      <c r="Z25" s="327">
        <v>13</v>
      </c>
      <c r="AA25" s="328">
        <v>12</v>
      </c>
      <c r="AB25" s="329">
        <f>AB5/2</f>
        <v>7017.9664780472149</v>
      </c>
      <c r="AC25" s="330"/>
      <c r="AD25" s="284"/>
      <c r="AE25" s="284">
        <v>13</v>
      </c>
      <c r="AF25" s="285">
        <v>12</v>
      </c>
      <c r="AG25" s="329">
        <f>1.3*AB25</f>
        <v>9123.3564214613798</v>
      </c>
      <c r="AH25" s="330"/>
      <c r="AI25" s="284"/>
      <c r="AJ25" s="284">
        <v>13</v>
      </c>
      <c r="AK25" s="285">
        <v>12</v>
      </c>
      <c r="AL25" s="331">
        <f>1.52*AB25</f>
        <v>10667.309046631766</v>
      </c>
      <c r="AM25" s="330"/>
      <c r="AN25" s="284"/>
      <c r="AO25" s="284">
        <v>13</v>
      </c>
      <c r="AP25" s="285">
        <v>12</v>
      </c>
      <c r="AQ25" s="331">
        <f t="shared" ref="AQ25:AQ39" si="5">1.75*AB25</f>
        <v>12281.441336582626</v>
      </c>
    </row>
    <row r="26" spans="1:43" ht="15.75" x14ac:dyDescent="0.25">
      <c r="A26" s="270">
        <v>18</v>
      </c>
      <c r="B26" s="271"/>
      <c r="C26" s="272"/>
      <c r="D26" s="272"/>
      <c r="E26" s="273"/>
      <c r="F26" s="274">
        <v>12</v>
      </c>
      <c r="G26" s="275">
        <v>11</v>
      </c>
      <c r="H26" s="275">
        <v>10</v>
      </c>
      <c r="I26" s="276">
        <v>9</v>
      </c>
      <c r="J26" s="277">
        <v>6</v>
      </c>
      <c r="K26" s="278">
        <v>5</v>
      </c>
      <c r="L26" s="278">
        <v>4</v>
      </c>
      <c r="M26" s="279">
        <v>3</v>
      </c>
      <c r="N26" s="292"/>
      <c r="O26" s="293"/>
      <c r="P26" s="293"/>
      <c r="Q26" s="287"/>
      <c r="R26" s="289"/>
      <c r="S26" s="288"/>
      <c r="T26" s="288"/>
      <c r="U26" s="290"/>
      <c r="V26" s="286">
        <f t="shared" si="0"/>
        <v>5038.0909652024129</v>
      </c>
      <c r="X26" s="326"/>
      <c r="Y26" s="327">
        <v>13</v>
      </c>
      <c r="Z26" s="327">
        <v>12</v>
      </c>
      <c r="AA26" s="328">
        <v>11</v>
      </c>
      <c r="AB26" s="329">
        <f>AB6/2</f>
        <v>6683.7775981402046</v>
      </c>
      <c r="AC26" s="330"/>
      <c r="AD26" s="284">
        <v>13</v>
      </c>
      <c r="AE26" s="284">
        <v>12</v>
      </c>
      <c r="AF26" s="285">
        <v>11</v>
      </c>
      <c r="AG26" s="329">
        <f>1.3*AB26</f>
        <v>8688.910877582266</v>
      </c>
      <c r="AH26" s="330"/>
      <c r="AI26" s="284">
        <v>13</v>
      </c>
      <c r="AJ26" s="284">
        <v>12</v>
      </c>
      <c r="AK26" s="285">
        <v>11</v>
      </c>
      <c r="AL26" s="331">
        <f>1.52*AB26</f>
        <v>10159.341949173111</v>
      </c>
      <c r="AM26" s="330"/>
      <c r="AN26" s="284">
        <v>13</v>
      </c>
      <c r="AO26" s="284">
        <v>12</v>
      </c>
      <c r="AP26" s="285">
        <v>11</v>
      </c>
      <c r="AQ26" s="331">
        <f t="shared" si="5"/>
        <v>11696.610796745357</v>
      </c>
    </row>
    <row r="27" spans="1:43" ht="15.75" x14ac:dyDescent="0.25">
      <c r="A27" s="270">
        <v>17</v>
      </c>
      <c r="B27" s="271"/>
      <c r="C27" s="272"/>
      <c r="D27" s="272"/>
      <c r="E27" s="273"/>
      <c r="F27" s="274">
        <v>11</v>
      </c>
      <c r="G27" s="275">
        <v>10</v>
      </c>
      <c r="H27" s="275">
        <v>9</v>
      </c>
      <c r="I27" s="276">
        <v>8</v>
      </c>
      <c r="J27" s="277">
        <v>5</v>
      </c>
      <c r="K27" s="278">
        <v>4</v>
      </c>
      <c r="L27" s="278">
        <v>3</v>
      </c>
      <c r="M27" s="279">
        <v>2</v>
      </c>
      <c r="N27" s="292"/>
      <c r="O27" s="293"/>
      <c r="P27" s="293"/>
      <c r="Q27" s="287"/>
      <c r="R27" s="289"/>
      <c r="S27" s="288"/>
      <c r="T27" s="288"/>
      <c r="U27" s="290"/>
      <c r="V27" s="286">
        <f t="shared" si="0"/>
        <v>4798.1818716213456</v>
      </c>
      <c r="X27" s="326">
        <v>13</v>
      </c>
      <c r="Y27" s="327">
        <v>12</v>
      </c>
      <c r="Z27" s="327">
        <v>11</v>
      </c>
      <c r="AA27" s="328">
        <v>10</v>
      </c>
      <c r="AB27" s="329">
        <f>AB7/2</f>
        <v>6365.5024744192424</v>
      </c>
      <c r="AC27" s="330">
        <v>13</v>
      </c>
      <c r="AD27" s="284">
        <v>12</v>
      </c>
      <c r="AE27" s="284">
        <v>11</v>
      </c>
      <c r="AF27" s="285">
        <v>10</v>
      </c>
      <c r="AG27" s="329">
        <f t="shared" ref="AG27:AG39" si="6">1.3*AB27</f>
        <v>8275.153216745015</v>
      </c>
      <c r="AH27" s="330">
        <v>13</v>
      </c>
      <c r="AI27" s="284">
        <v>12</v>
      </c>
      <c r="AJ27" s="284">
        <v>11</v>
      </c>
      <c r="AK27" s="285">
        <v>10</v>
      </c>
      <c r="AL27" s="331">
        <f t="shared" ref="AL27:AL39" si="7">1.52*AB27</f>
        <v>9675.5637611172479</v>
      </c>
      <c r="AM27" s="330">
        <v>13</v>
      </c>
      <c r="AN27" s="284">
        <v>12</v>
      </c>
      <c r="AO27" s="284">
        <v>11</v>
      </c>
      <c r="AP27" s="285">
        <v>10</v>
      </c>
      <c r="AQ27" s="331">
        <f t="shared" si="5"/>
        <v>11139.629330233674</v>
      </c>
    </row>
    <row r="28" spans="1:43" ht="15.75" x14ac:dyDescent="0.25">
      <c r="A28" s="270">
        <v>16</v>
      </c>
      <c r="B28" s="271"/>
      <c r="C28" s="294"/>
      <c r="D28" s="272"/>
      <c r="E28" s="273">
        <v>13</v>
      </c>
      <c r="F28" s="274">
        <v>10</v>
      </c>
      <c r="G28" s="275">
        <v>9</v>
      </c>
      <c r="H28" s="275">
        <v>8</v>
      </c>
      <c r="I28" s="276">
        <v>7</v>
      </c>
      <c r="J28" s="277">
        <v>4</v>
      </c>
      <c r="K28" s="278">
        <v>3</v>
      </c>
      <c r="L28" s="278">
        <v>2</v>
      </c>
      <c r="M28" s="279">
        <v>1</v>
      </c>
      <c r="N28" s="280"/>
      <c r="O28" s="281"/>
      <c r="P28" s="281"/>
      <c r="Q28" s="282"/>
      <c r="R28" s="289"/>
      <c r="S28" s="288"/>
      <c r="T28" s="288"/>
      <c r="U28" s="290"/>
      <c r="V28" s="286">
        <f t="shared" si="0"/>
        <v>4569.6970205917578</v>
      </c>
      <c r="X28" s="326">
        <v>12</v>
      </c>
      <c r="Y28" s="327">
        <v>11</v>
      </c>
      <c r="Z28" s="327">
        <v>10</v>
      </c>
      <c r="AA28" s="328">
        <v>9</v>
      </c>
      <c r="AB28" s="329">
        <f t="shared" ref="AB28:AB39" si="8">AB8/2</f>
        <v>6062.3833089707068</v>
      </c>
      <c r="AC28" s="330">
        <v>12</v>
      </c>
      <c r="AD28" s="284">
        <v>11</v>
      </c>
      <c r="AE28" s="284">
        <v>10</v>
      </c>
      <c r="AF28" s="285">
        <v>9</v>
      </c>
      <c r="AG28" s="329">
        <f t="shared" si="6"/>
        <v>7881.0983016619193</v>
      </c>
      <c r="AH28" s="330">
        <v>12</v>
      </c>
      <c r="AI28" s="284">
        <v>11</v>
      </c>
      <c r="AJ28" s="284">
        <v>10</v>
      </c>
      <c r="AK28" s="285">
        <v>9</v>
      </c>
      <c r="AL28" s="331">
        <f t="shared" si="7"/>
        <v>9214.8226296354751</v>
      </c>
      <c r="AM28" s="330">
        <v>12</v>
      </c>
      <c r="AN28" s="284">
        <v>11</v>
      </c>
      <c r="AO28" s="284">
        <v>10</v>
      </c>
      <c r="AP28" s="285">
        <v>9</v>
      </c>
      <c r="AQ28" s="331">
        <f t="shared" si="5"/>
        <v>10609.170790698738</v>
      </c>
    </row>
    <row r="29" spans="1:43" ht="15.75" x14ac:dyDescent="0.25">
      <c r="A29" s="270">
        <v>15</v>
      </c>
      <c r="B29" s="271"/>
      <c r="C29" s="272"/>
      <c r="D29" s="272">
        <v>13</v>
      </c>
      <c r="E29" s="273">
        <v>12</v>
      </c>
      <c r="F29" s="274">
        <v>9</v>
      </c>
      <c r="G29" s="275">
        <v>8</v>
      </c>
      <c r="H29" s="275">
        <v>7</v>
      </c>
      <c r="I29" s="276">
        <v>6</v>
      </c>
      <c r="J29" s="277">
        <v>3</v>
      </c>
      <c r="K29" s="278">
        <v>2</v>
      </c>
      <c r="L29" s="278">
        <v>1</v>
      </c>
      <c r="M29" s="279"/>
      <c r="N29" s="280"/>
      <c r="O29" s="281"/>
      <c r="P29" s="281"/>
      <c r="Q29" s="282"/>
      <c r="R29" s="289"/>
      <c r="S29" s="288"/>
      <c r="T29" s="288"/>
      <c r="U29" s="290"/>
      <c r="V29" s="286">
        <f t="shared" si="0"/>
        <v>4352.0924005635788</v>
      </c>
      <c r="X29" s="326">
        <v>11</v>
      </c>
      <c r="Y29" s="327">
        <v>10</v>
      </c>
      <c r="Z29" s="327">
        <v>9</v>
      </c>
      <c r="AA29" s="328">
        <v>8</v>
      </c>
      <c r="AB29" s="329">
        <f t="shared" si="8"/>
        <v>5773.6983894959112</v>
      </c>
      <c r="AC29" s="330">
        <v>11</v>
      </c>
      <c r="AD29" s="284">
        <v>10</v>
      </c>
      <c r="AE29" s="284">
        <v>9</v>
      </c>
      <c r="AF29" s="285">
        <v>8</v>
      </c>
      <c r="AG29" s="329">
        <f t="shared" si="6"/>
        <v>7505.8079063446849</v>
      </c>
      <c r="AH29" s="330">
        <v>11</v>
      </c>
      <c r="AI29" s="284">
        <v>10</v>
      </c>
      <c r="AJ29" s="284">
        <v>9</v>
      </c>
      <c r="AK29" s="285">
        <v>8</v>
      </c>
      <c r="AL29" s="331">
        <f t="shared" si="7"/>
        <v>8776.0215520337842</v>
      </c>
      <c r="AM29" s="330">
        <v>11</v>
      </c>
      <c r="AN29" s="284">
        <v>10</v>
      </c>
      <c r="AO29" s="284">
        <v>9</v>
      </c>
      <c r="AP29" s="285">
        <v>8</v>
      </c>
      <c r="AQ29" s="331">
        <f t="shared" si="5"/>
        <v>10103.972181617844</v>
      </c>
    </row>
    <row r="30" spans="1:43" ht="15.75" x14ac:dyDescent="0.25">
      <c r="A30" s="270">
        <v>14</v>
      </c>
      <c r="B30" s="271"/>
      <c r="C30" s="272">
        <v>13</v>
      </c>
      <c r="D30" s="272">
        <v>12</v>
      </c>
      <c r="E30" s="273">
        <v>11</v>
      </c>
      <c r="F30" s="274">
        <v>8</v>
      </c>
      <c r="G30" s="275">
        <v>7</v>
      </c>
      <c r="H30" s="275">
        <v>6</v>
      </c>
      <c r="I30" s="276">
        <v>5</v>
      </c>
      <c r="J30" s="277">
        <v>2</v>
      </c>
      <c r="K30" s="278">
        <v>1</v>
      </c>
      <c r="L30" s="278"/>
      <c r="M30" s="279"/>
      <c r="N30" s="280"/>
      <c r="O30" s="281"/>
      <c r="P30" s="281"/>
      <c r="Q30" s="282"/>
      <c r="R30" s="289"/>
      <c r="S30" s="288"/>
      <c r="T30" s="288"/>
      <c r="U30" s="290"/>
      <c r="V30" s="286">
        <f t="shared" si="0"/>
        <v>4144.8499052986463</v>
      </c>
      <c r="X30" s="326">
        <v>10</v>
      </c>
      <c r="Y30" s="327">
        <v>9</v>
      </c>
      <c r="Z30" s="327">
        <v>8</v>
      </c>
      <c r="AA30" s="328">
        <v>7</v>
      </c>
      <c r="AB30" s="329">
        <f t="shared" si="8"/>
        <v>5498.7603709484865</v>
      </c>
      <c r="AC30" s="330">
        <v>10</v>
      </c>
      <c r="AD30" s="284">
        <v>9</v>
      </c>
      <c r="AE30" s="284">
        <v>8</v>
      </c>
      <c r="AF30" s="285">
        <v>7</v>
      </c>
      <c r="AG30" s="329">
        <f t="shared" si="6"/>
        <v>7148.3884822330328</v>
      </c>
      <c r="AH30" s="330">
        <v>10</v>
      </c>
      <c r="AI30" s="284">
        <v>9</v>
      </c>
      <c r="AJ30" s="284">
        <v>8</v>
      </c>
      <c r="AK30" s="285">
        <v>7</v>
      </c>
      <c r="AL30" s="331">
        <f t="shared" si="7"/>
        <v>8358.1157638416989</v>
      </c>
      <c r="AM30" s="330">
        <v>10</v>
      </c>
      <c r="AN30" s="284">
        <v>9</v>
      </c>
      <c r="AO30" s="284">
        <v>8</v>
      </c>
      <c r="AP30" s="285">
        <v>7</v>
      </c>
      <c r="AQ30" s="331">
        <f t="shared" si="5"/>
        <v>9622.8306491598523</v>
      </c>
    </row>
    <row r="31" spans="1:43" ht="15.75" x14ac:dyDescent="0.25">
      <c r="A31" s="270">
        <v>13</v>
      </c>
      <c r="B31" s="271">
        <v>13</v>
      </c>
      <c r="C31" s="272">
        <v>12</v>
      </c>
      <c r="D31" s="272">
        <v>11</v>
      </c>
      <c r="E31" s="273">
        <v>10</v>
      </c>
      <c r="F31" s="274">
        <v>7</v>
      </c>
      <c r="G31" s="275">
        <v>6</v>
      </c>
      <c r="H31" s="275">
        <v>5</v>
      </c>
      <c r="I31" s="276">
        <v>4</v>
      </c>
      <c r="J31" s="277">
        <v>1</v>
      </c>
      <c r="K31" s="278"/>
      <c r="L31" s="278"/>
      <c r="M31" s="279"/>
      <c r="N31" s="280"/>
      <c r="O31" s="281"/>
      <c r="P31" s="281"/>
      <c r="Q31" s="282"/>
      <c r="R31" s="283"/>
      <c r="S31" s="284"/>
      <c r="T31" s="284"/>
      <c r="U31" s="285"/>
      <c r="V31" s="286">
        <f t="shared" si="0"/>
        <v>3947.4761002844252</v>
      </c>
      <c r="X31" s="326">
        <v>9</v>
      </c>
      <c r="Y31" s="327">
        <v>8</v>
      </c>
      <c r="Z31" s="327">
        <v>7</v>
      </c>
      <c r="AA31" s="328">
        <v>6</v>
      </c>
      <c r="AB31" s="329">
        <f t="shared" si="8"/>
        <v>5236.9146389985581</v>
      </c>
      <c r="AC31" s="330">
        <v>9</v>
      </c>
      <c r="AD31" s="284">
        <v>8</v>
      </c>
      <c r="AE31" s="284">
        <v>7</v>
      </c>
      <c r="AF31" s="285">
        <v>6</v>
      </c>
      <c r="AG31" s="329">
        <f t="shared" si="6"/>
        <v>6807.989030698126</v>
      </c>
      <c r="AH31" s="330">
        <v>9</v>
      </c>
      <c r="AI31" s="284">
        <v>8</v>
      </c>
      <c r="AJ31" s="284">
        <v>7</v>
      </c>
      <c r="AK31" s="285">
        <v>6</v>
      </c>
      <c r="AL31" s="331">
        <f t="shared" si="7"/>
        <v>7960.1102512778079</v>
      </c>
      <c r="AM31" s="330">
        <v>9</v>
      </c>
      <c r="AN31" s="284">
        <v>8</v>
      </c>
      <c r="AO31" s="284">
        <v>7</v>
      </c>
      <c r="AP31" s="285">
        <v>6</v>
      </c>
      <c r="AQ31" s="331">
        <f t="shared" si="5"/>
        <v>9164.6006182474775</v>
      </c>
    </row>
    <row r="32" spans="1:43" ht="15.75" x14ac:dyDescent="0.25">
      <c r="A32" s="270">
        <v>12</v>
      </c>
      <c r="B32" s="271">
        <v>12</v>
      </c>
      <c r="C32" s="272">
        <v>11</v>
      </c>
      <c r="D32" s="272">
        <v>10</v>
      </c>
      <c r="E32" s="273">
        <v>9</v>
      </c>
      <c r="F32" s="274">
        <v>6</v>
      </c>
      <c r="G32" s="275">
        <v>5</v>
      </c>
      <c r="H32" s="275">
        <v>4</v>
      </c>
      <c r="I32" s="276">
        <v>3</v>
      </c>
      <c r="J32" s="277"/>
      <c r="K32" s="278"/>
      <c r="L32" s="278"/>
      <c r="M32" s="279"/>
      <c r="N32" s="280"/>
      <c r="O32" s="281"/>
      <c r="P32" s="281"/>
      <c r="Q32" s="282"/>
      <c r="R32" s="283"/>
      <c r="S32" s="284"/>
      <c r="T32" s="284"/>
      <c r="U32" s="285"/>
      <c r="V32" s="286">
        <f t="shared" si="0"/>
        <v>3759.5010478899285</v>
      </c>
      <c r="X32" s="326">
        <v>8</v>
      </c>
      <c r="Y32" s="327">
        <v>7</v>
      </c>
      <c r="Z32" s="327">
        <v>6</v>
      </c>
      <c r="AA32" s="328">
        <v>5</v>
      </c>
      <c r="AB32" s="329">
        <f t="shared" si="8"/>
        <v>4987.5377514271977</v>
      </c>
      <c r="AC32" s="330">
        <v>8</v>
      </c>
      <c r="AD32" s="284">
        <v>7</v>
      </c>
      <c r="AE32" s="284">
        <v>6</v>
      </c>
      <c r="AF32" s="285">
        <v>5</v>
      </c>
      <c r="AG32" s="329">
        <f t="shared" si="6"/>
        <v>6483.7990768553573</v>
      </c>
      <c r="AH32" s="330">
        <v>8</v>
      </c>
      <c r="AI32" s="284">
        <v>7</v>
      </c>
      <c r="AJ32" s="284">
        <v>6</v>
      </c>
      <c r="AK32" s="285">
        <v>5</v>
      </c>
      <c r="AL32" s="331">
        <f t="shared" si="7"/>
        <v>7581.0573821693406</v>
      </c>
      <c r="AM32" s="330">
        <v>8</v>
      </c>
      <c r="AN32" s="284">
        <v>7</v>
      </c>
      <c r="AO32" s="284">
        <v>6</v>
      </c>
      <c r="AP32" s="285">
        <v>5</v>
      </c>
      <c r="AQ32" s="331">
        <f t="shared" si="5"/>
        <v>8728.1910649975962</v>
      </c>
    </row>
    <row r="33" spans="1:43" ht="15.75" x14ac:dyDescent="0.25">
      <c r="A33" s="270">
        <v>11</v>
      </c>
      <c r="B33" s="271">
        <v>11</v>
      </c>
      <c r="C33" s="272">
        <v>10</v>
      </c>
      <c r="D33" s="272">
        <v>9</v>
      </c>
      <c r="E33" s="273">
        <v>8</v>
      </c>
      <c r="F33" s="274">
        <v>5</v>
      </c>
      <c r="G33" s="275">
        <v>4</v>
      </c>
      <c r="H33" s="275">
        <v>3</v>
      </c>
      <c r="I33" s="276">
        <v>2</v>
      </c>
      <c r="J33" s="277"/>
      <c r="K33" s="278"/>
      <c r="L33" s="278"/>
      <c r="M33" s="279"/>
      <c r="N33" s="280"/>
      <c r="O33" s="281"/>
      <c r="P33" s="281"/>
      <c r="Q33" s="282"/>
      <c r="R33" s="283"/>
      <c r="S33" s="284"/>
      <c r="T33" s="284"/>
      <c r="U33" s="285"/>
      <c r="V33" s="286">
        <f t="shared" si="0"/>
        <v>3580.4771884665984</v>
      </c>
      <c r="X33" s="326">
        <v>7</v>
      </c>
      <c r="Y33" s="327">
        <v>6</v>
      </c>
      <c r="Z33" s="327">
        <v>5</v>
      </c>
      <c r="AA33" s="328">
        <v>4</v>
      </c>
      <c r="AB33" s="329">
        <f t="shared" si="8"/>
        <v>4750.0359537401882</v>
      </c>
      <c r="AC33" s="330">
        <v>7</v>
      </c>
      <c r="AD33" s="284">
        <v>6</v>
      </c>
      <c r="AE33" s="284">
        <v>5</v>
      </c>
      <c r="AF33" s="285">
        <v>4</v>
      </c>
      <c r="AG33" s="329">
        <f t="shared" si="6"/>
        <v>6175.046739862245</v>
      </c>
      <c r="AH33" s="330">
        <v>7</v>
      </c>
      <c r="AI33" s="284">
        <v>6</v>
      </c>
      <c r="AJ33" s="284">
        <v>5</v>
      </c>
      <c r="AK33" s="285">
        <v>4</v>
      </c>
      <c r="AL33" s="331">
        <f t="shared" si="7"/>
        <v>7220.0546496850866</v>
      </c>
      <c r="AM33" s="330">
        <v>7</v>
      </c>
      <c r="AN33" s="284">
        <v>6</v>
      </c>
      <c r="AO33" s="284">
        <v>5</v>
      </c>
      <c r="AP33" s="285">
        <v>4</v>
      </c>
      <c r="AQ33" s="331">
        <f t="shared" si="5"/>
        <v>8312.5629190453292</v>
      </c>
    </row>
    <row r="34" spans="1:43" ht="15.75" x14ac:dyDescent="0.25">
      <c r="A34" s="270">
        <v>10</v>
      </c>
      <c r="B34" s="271">
        <v>10</v>
      </c>
      <c r="C34" s="272">
        <v>9</v>
      </c>
      <c r="D34" s="272">
        <v>8</v>
      </c>
      <c r="E34" s="273">
        <v>7</v>
      </c>
      <c r="F34" s="274">
        <v>4</v>
      </c>
      <c r="G34" s="275">
        <v>3</v>
      </c>
      <c r="H34" s="275">
        <v>2</v>
      </c>
      <c r="I34" s="276">
        <v>1</v>
      </c>
      <c r="J34" s="277"/>
      <c r="K34" s="278"/>
      <c r="L34" s="278"/>
      <c r="M34" s="279"/>
      <c r="N34" s="280"/>
      <c r="O34" s="281"/>
      <c r="P34" s="281"/>
      <c r="Q34" s="282"/>
      <c r="R34" s="283"/>
      <c r="S34" s="284"/>
      <c r="T34" s="284"/>
      <c r="U34" s="285"/>
      <c r="V34" s="286">
        <f t="shared" si="0"/>
        <v>3409.9782747300937</v>
      </c>
      <c r="X34" s="326">
        <v>6</v>
      </c>
      <c r="Y34" s="327">
        <v>5</v>
      </c>
      <c r="Z34" s="327">
        <v>4</v>
      </c>
      <c r="AA34" s="328">
        <v>3</v>
      </c>
      <c r="AB34" s="329">
        <f t="shared" si="8"/>
        <v>4523.843765466846</v>
      </c>
      <c r="AC34" s="330">
        <v>6</v>
      </c>
      <c r="AD34" s="284">
        <v>5</v>
      </c>
      <c r="AE34" s="284">
        <v>4</v>
      </c>
      <c r="AF34" s="285">
        <v>3</v>
      </c>
      <c r="AG34" s="329">
        <f t="shared" si="6"/>
        <v>5880.9968951069004</v>
      </c>
      <c r="AH34" s="330">
        <v>6</v>
      </c>
      <c r="AI34" s="284">
        <v>5</v>
      </c>
      <c r="AJ34" s="284">
        <v>4</v>
      </c>
      <c r="AK34" s="285">
        <v>3</v>
      </c>
      <c r="AL34" s="331">
        <f t="shared" si="7"/>
        <v>6876.2425235096061</v>
      </c>
      <c r="AM34" s="330">
        <v>6</v>
      </c>
      <c r="AN34" s="284">
        <v>5</v>
      </c>
      <c r="AO34" s="284">
        <v>4</v>
      </c>
      <c r="AP34" s="285">
        <v>3</v>
      </c>
      <c r="AQ34" s="331">
        <f t="shared" si="5"/>
        <v>7916.7265895669807</v>
      </c>
    </row>
    <row r="35" spans="1:43" ht="15.75" x14ac:dyDescent="0.25">
      <c r="A35" s="270">
        <v>9</v>
      </c>
      <c r="B35" s="271">
        <v>9</v>
      </c>
      <c r="C35" s="272">
        <v>8</v>
      </c>
      <c r="D35" s="272">
        <v>7</v>
      </c>
      <c r="E35" s="273">
        <v>6</v>
      </c>
      <c r="F35" s="274">
        <v>3</v>
      </c>
      <c r="G35" s="275">
        <v>2</v>
      </c>
      <c r="H35" s="275">
        <v>1</v>
      </c>
      <c r="I35" s="276"/>
      <c r="J35" s="277"/>
      <c r="K35" s="278"/>
      <c r="L35" s="278"/>
      <c r="M35" s="279"/>
      <c r="N35" s="280"/>
      <c r="O35" s="281"/>
      <c r="P35" s="281"/>
      <c r="Q35" s="282"/>
      <c r="R35" s="283"/>
      <c r="S35" s="284"/>
      <c r="T35" s="284"/>
      <c r="U35" s="285"/>
      <c r="V35" s="286">
        <f t="shared" si="0"/>
        <v>3247.5983568858032</v>
      </c>
      <c r="X35" s="326">
        <v>5</v>
      </c>
      <c r="Y35" s="327">
        <v>4</v>
      </c>
      <c r="Z35" s="327">
        <v>3</v>
      </c>
      <c r="AA35" s="328">
        <v>2</v>
      </c>
      <c r="AB35" s="329">
        <f t="shared" si="8"/>
        <v>4308.4226337779482</v>
      </c>
      <c r="AC35" s="330">
        <v>5</v>
      </c>
      <c r="AD35" s="284">
        <v>4</v>
      </c>
      <c r="AE35" s="284">
        <v>3</v>
      </c>
      <c r="AF35" s="285">
        <v>2</v>
      </c>
      <c r="AG35" s="329">
        <f t="shared" si="6"/>
        <v>5600.9494239113328</v>
      </c>
      <c r="AH35" s="330">
        <v>5</v>
      </c>
      <c r="AI35" s="284">
        <v>4</v>
      </c>
      <c r="AJ35" s="284">
        <v>3</v>
      </c>
      <c r="AK35" s="285">
        <v>2</v>
      </c>
      <c r="AL35" s="331">
        <f t="shared" si="7"/>
        <v>6548.8024033424817</v>
      </c>
      <c r="AM35" s="330">
        <v>5</v>
      </c>
      <c r="AN35" s="284">
        <v>4</v>
      </c>
      <c r="AO35" s="284">
        <v>3</v>
      </c>
      <c r="AP35" s="285">
        <v>2</v>
      </c>
      <c r="AQ35" s="331">
        <f t="shared" si="5"/>
        <v>7539.7396091114097</v>
      </c>
    </row>
    <row r="36" spans="1:43" ht="15.75" x14ac:dyDescent="0.25">
      <c r="A36" s="270">
        <v>8</v>
      </c>
      <c r="B36" s="271">
        <v>8</v>
      </c>
      <c r="C36" s="272">
        <v>7</v>
      </c>
      <c r="D36" s="272">
        <v>6</v>
      </c>
      <c r="E36" s="273">
        <v>5</v>
      </c>
      <c r="F36" s="274">
        <v>2</v>
      </c>
      <c r="G36" s="275">
        <v>1</v>
      </c>
      <c r="H36" s="275"/>
      <c r="I36" s="276"/>
      <c r="J36" s="277"/>
      <c r="K36" s="278"/>
      <c r="L36" s="278"/>
      <c r="M36" s="279"/>
      <c r="N36" s="292"/>
      <c r="O36" s="293"/>
      <c r="P36" s="293"/>
      <c r="Q36" s="287"/>
      <c r="R36" s="283"/>
      <c r="S36" s="284"/>
      <c r="T36" s="284"/>
      <c r="U36" s="285"/>
      <c r="V36" s="286">
        <f t="shared" si="0"/>
        <v>3092.9508160817172</v>
      </c>
      <c r="X36" s="326">
        <v>4</v>
      </c>
      <c r="Y36" s="327">
        <v>3</v>
      </c>
      <c r="Z36" s="327">
        <v>2</v>
      </c>
      <c r="AA36" s="328">
        <v>1</v>
      </c>
      <c r="AB36" s="329">
        <f t="shared" si="8"/>
        <v>4103.2596512170931</v>
      </c>
      <c r="AC36" s="330">
        <v>4</v>
      </c>
      <c r="AD36" s="284">
        <v>3</v>
      </c>
      <c r="AE36" s="284">
        <v>2</v>
      </c>
      <c r="AF36" s="285">
        <v>1</v>
      </c>
      <c r="AG36" s="329">
        <f t="shared" si="6"/>
        <v>5334.2375465822215</v>
      </c>
      <c r="AH36" s="330">
        <v>4</v>
      </c>
      <c r="AI36" s="284">
        <v>3</v>
      </c>
      <c r="AJ36" s="284">
        <v>2</v>
      </c>
      <c r="AK36" s="285">
        <v>1</v>
      </c>
      <c r="AL36" s="331">
        <f t="shared" si="7"/>
        <v>6236.9546698499817</v>
      </c>
      <c r="AM36" s="330">
        <v>4</v>
      </c>
      <c r="AN36" s="284">
        <v>3</v>
      </c>
      <c r="AO36" s="284">
        <v>2</v>
      </c>
      <c r="AP36" s="285">
        <v>1</v>
      </c>
      <c r="AQ36" s="331">
        <f t="shared" si="5"/>
        <v>7180.7043896299128</v>
      </c>
    </row>
    <row r="37" spans="1:43" ht="15.75" x14ac:dyDescent="0.25">
      <c r="A37" s="270">
        <v>7</v>
      </c>
      <c r="B37" s="271">
        <v>7</v>
      </c>
      <c r="C37" s="272">
        <v>6</v>
      </c>
      <c r="D37" s="272">
        <v>5</v>
      </c>
      <c r="E37" s="273">
        <v>4</v>
      </c>
      <c r="F37" s="274">
        <v>1</v>
      </c>
      <c r="G37" s="275"/>
      <c r="H37" s="295"/>
      <c r="I37" s="276"/>
      <c r="J37" s="277"/>
      <c r="K37" s="278"/>
      <c r="L37" s="278"/>
      <c r="M37" s="279"/>
      <c r="N37" s="280"/>
      <c r="O37" s="281"/>
      <c r="P37" s="281"/>
      <c r="Q37" s="282"/>
      <c r="R37" s="283"/>
      <c r="S37" s="284"/>
      <c r="T37" s="284"/>
      <c r="U37" s="285"/>
      <c r="V37" s="286">
        <f t="shared" si="0"/>
        <v>2945.6674438873497</v>
      </c>
      <c r="X37" s="326">
        <v>3</v>
      </c>
      <c r="Y37" s="327">
        <v>2</v>
      </c>
      <c r="Z37" s="327">
        <v>1</v>
      </c>
      <c r="AA37" s="328"/>
      <c r="AB37" s="329">
        <f t="shared" si="8"/>
        <v>3907.8663344924698</v>
      </c>
      <c r="AC37" s="330">
        <v>3</v>
      </c>
      <c r="AD37" s="284">
        <v>2</v>
      </c>
      <c r="AE37" s="284">
        <v>1</v>
      </c>
      <c r="AF37" s="285"/>
      <c r="AG37" s="329">
        <f t="shared" si="6"/>
        <v>5080.226234840211</v>
      </c>
      <c r="AH37" s="330">
        <v>3</v>
      </c>
      <c r="AI37" s="284">
        <v>2</v>
      </c>
      <c r="AJ37" s="284">
        <v>1</v>
      </c>
      <c r="AK37" s="285"/>
      <c r="AL37" s="331">
        <f t="shared" si="7"/>
        <v>5939.9568284285542</v>
      </c>
      <c r="AM37" s="330">
        <v>3</v>
      </c>
      <c r="AN37" s="284">
        <v>2</v>
      </c>
      <c r="AO37" s="284">
        <v>1</v>
      </c>
      <c r="AP37" s="285"/>
      <c r="AQ37" s="331">
        <f t="shared" si="5"/>
        <v>6838.7660853618218</v>
      </c>
    </row>
    <row r="38" spans="1:43" ht="15.75" x14ac:dyDescent="0.25">
      <c r="A38" s="270">
        <v>6</v>
      </c>
      <c r="B38" s="271">
        <v>6</v>
      </c>
      <c r="C38" s="272">
        <v>5</v>
      </c>
      <c r="D38" s="272">
        <v>4</v>
      </c>
      <c r="E38" s="273">
        <v>3</v>
      </c>
      <c r="F38" s="274"/>
      <c r="G38" s="275"/>
      <c r="H38" s="275"/>
      <c r="I38" s="276"/>
      <c r="J38" s="277"/>
      <c r="K38" s="278"/>
      <c r="L38" s="278"/>
      <c r="M38" s="279"/>
      <c r="N38" s="292"/>
      <c r="O38" s="293"/>
      <c r="P38" s="293"/>
      <c r="Q38" s="287"/>
      <c r="R38" s="283"/>
      <c r="S38" s="284"/>
      <c r="T38" s="284"/>
      <c r="U38" s="285"/>
      <c r="V38" s="286">
        <f t="shared" si="0"/>
        <v>2805.3975656069997</v>
      </c>
      <c r="X38" s="326">
        <v>2</v>
      </c>
      <c r="Y38" s="327">
        <v>1</v>
      </c>
      <c r="Z38" s="327"/>
      <c r="AA38" s="328"/>
      <c r="AB38" s="329">
        <f t="shared" si="8"/>
        <v>3721.7774614213995</v>
      </c>
      <c r="AC38" s="330">
        <v>2</v>
      </c>
      <c r="AD38" s="284">
        <v>1</v>
      </c>
      <c r="AE38" s="284"/>
      <c r="AF38" s="285"/>
      <c r="AG38" s="329">
        <f t="shared" si="6"/>
        <v>4838.3106998478197</v>
      </c>
      <c r="AH38" s="330">
        <v>2</v>
      </c>
      <c r="AI38" s="284">
        <v>1</v>
      </c>
      <c r="AJ38" s="284"/>
      <c r="AK38" s="285"/>
      <c r="AL38" s="331">
        <f t="shared" si="7"/>
        <v>5657.1017413605277</v>
      </c>
      <c r="AM38" s="330">
        <v>2</v>
      </c>
      <c r="AN38" s="284">
        <v>1</v>
      </c>
      <c r="AO38" s="284"/>
      <c r="AP38" s="285"/>
      <c r="AQ38" s="331">
        <f t="shared" si="5"/>
        <v>6513.1105574874491</v>
      </c>
    </row>
    <row r="39" spans="1:43" ht="16.5" thickBot="1" x14ac:dyDescent="0.3">
      <c r="A39" s="270">
        <v>5</v>
      </c>
      <c r="B39" s="271">
        <v>5</v>
      </c>
      <c r="C39" s="272">
        <v>4</v>
      </c>
      <c r="D39" s="272">
        <v>3</v>
      </c>
      <c r="E39" s="273">
        <v>2</v>
      </c>
      <c r="F39" s="274"/>
      <c r="G39" s="275"/>
      <c r="H39" s="275"/>
      <c r="I39" s="276"/>
      <c r="J39" s="277"/>
      <c r="K39" s="278"/>
      <c r="L39" s="278"/>
      <c r="M39" s="279"/>
      <c r="N39" s="280"/>
      <c r="O39" s="281"/>
      <c r="P39" s="281"/>
      <c r="Q39" s="282"/>
      <c r="R39" s="283"/>
      <c r="S39" s="284"/>
      <c r="T39" s="284"/>
      <c r="U39" s="285"/>
      <c r="V39" s="286">
        <f t="shared" si="0"/>
        <v>2671.8072053399997</v>
      </c>
      <c r="X39" s="332">
        <v>1</v>
      </c>
      <c r="Y39" s="343"/>
      <c r="Z39" s="343"/>
      <c r="AA39" s="334"/>
      <c r="AB39" s="335">
        <f t="shared" si="8"/>
        <v>3544.5499632584756</v>
      </c>
      <c r="AC39" s="336">
        <v>1</v>
      </c>
      <c r="AD39" s="337"/>
      <c r="AE39" s="337"/>
      <c r="AF39" s="338"/>
      <c r="AG39" s="335">
        <f t="shared" si="6"/>
        <v>4607.9149522360185</v>
      </c>
      <c r="AH39" s="336">
        <v>1</v>
      </c>
      <c r="AI39" s="337"/>
      <c r="AJ39" s="337"/>
      <c r="AK39" s="338"/>
      <c r="AL39" s="339">
        <f t="shared" si="7"/>
        <v>5387.7159441528829</v>
      </c>
      <c r="AM39" s="336">
        <v>1</v>
      </c>
      <c r="AN39" s="337"/>
      <c r="AO39" s="337"/>
      <c r="AP39" s="338"/>
      <c r="AQ39" s="339">
        <f t="shared" si="5"/>
        <v>6202.9624357023322</v>
      </c>
    </row>
    <row r="40" spans="1:43" ht="15.75" x14ac:dyDescent="0.25">
      <c r="A40" s="270">
        <v>4</v>
      </c>
      <c r="B40" s="296">
        <v>4</v>
      </c>
      <c r="C40" s="297">
        <v>3</v>
      </c>
      <c r="D40" s="297">
        <v>2</v>
      </c>
      <c r="E40" s="298">
        <v>1</v>
      </c>
      <c r="F40" s="274"/>
      <c r="G40" s="275"/>
      <c r="H40" s="275"/>
      <c r="I40" s="276"/>
      <c r="J40" s="277"/>
      <c r="K40" s="278"/>
      <c r="L40" s="278"/>
      <c r="M40" s="279"/>
      <c r="N40" s="280"/>
      <c r="O40" s="281"/>
      <c r="P40" s="281"/>
      <c r="Q40" s="282"/>
      <c r="R40" s="283"/>
      <c r="S40" s="284"/>
      <c r="T40" s="284"/>
      <c r="U40" s="285"/>
      <c r="V40" s="286">
        <f t="shared" si="0"/>
        <v>2544.5782907999996</v>
      </c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</row>
    <row r="41" spans="1:43" ht="16.5" thickBot="1" x14ac:dyDescent="0.3">
      <c r="A41" s="270">
        <v>3</v>
      </c>
      <c r="B41" s="271">
        <v>3</v>
      </c>
      <c r="C41" s="272">
        <v>2</v>
      </c>
      <c r="D41" s="272">
        <v>1</v>
      </c>
      <c r="E41" s="272"/>
      <c r="F41" s="274"/>
      <c r="G41" s="275"/>
      <c r="H41" s="275"/>
      <c r="I41" s="276"/>
      <c r="J41" s="277"/>
      <c r="K41" s="278"/>
      <c r="L41" s="278"/>
      <c r="M41" s="279"/>
      <c r="N41" s="280"/>
      <c r="O41" s="281"/>
      <c r="P41" s="281"/>
      <c r="Q41" s="282"/>
      <c r="R41" s="283"/>
      <c r="S41" s="284"/>
      <c r="T41" s="284"/>
      <c r="U41" s="285"/>
      <c r="V41" s="286">
        <f t="shared" si="0"/>
        <v>2423.4078959999997</v>
      </c>
      <c r="X41" s="496" t="s">
        <v>38</v>
      </c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</row>
    <row r="42" spans="1:43" ht="15.75" x14ac:dyDescent="0.25">
      <c r="A42" s="270">
        <v>2</v>
      </c>
      <c r="B42" s="271">
        <v>2</v>
      </c>
      <c r="C42" s="272">
        <v>1</v>
      </c>
      <c r="D42" s="272"/>
      <c r="E42" s="272"/>
      <c r="F42" s="274"/>
      <c r="G42" s="275"/>
      <c r="H42" s="275"/>
      <c r="I42" s="276"/>
      <c r="J42" s="277"/>
      <c r="K42" s="278"/>
      <c r="L42" s="278"/>
      <c r="M42" s="279"/>
      <c r="N42" s="280"/>
      <c r="O42" s="281"/>
      <c r="P42" s="281"/>
      <c r="Q42" s="282"/>
      <c r="R42" s="283"/>
      <c r="S42" s="284"/>
      <c r="T42" s="284"/>
      <c r="U42" s="285"/>
      <c r="V42" s="286">
        <f t="shared" si="0"/>
        <v>2308.0075199999997</v>
      </c>
      <c r="X42" s="497" t="s">
        <v>15</v>
      </c>
      <c r="Y42" s="498"/>
      <c r="Z42" s="498"/>
      <c r="AA42" s="499"/>
      <c r="AB42" s="500" t="s">
        <v>40</v>
      </c>
      <c r="AC42" s="497" t="s">
        <v>12</v>
      </c>
      <c r="AD42" s="498"/>
      <c r="AE42" s="498"/>
      <c r="AF42" s="499"/>
      <c r="AG42" s="500" t="s">
        <v>40</v>
      </c>
      <c r="AH42" s="497" t="s">
        <v>13</v>
      </c>
      <c r="AI42" s="498"/>
      <c r="AJ42" s="498"/>
      <c r="AK42" s="499"/>
      <c r="AL42" s="500" t="s">
        <v>40</v>
      </c>
      <c r="AM42" s="497" t="s">
        <v>14</v>
      </c>
      <c r="AN42" s="498"/>
      <c r="AO42" s="498"/>
      <c r="AP42" s="499"/>
      <c r="AQ42" s="450" t="s">
        <v>40</v>
      </c>
    </row>
    <row r="43" spans="1:43" ht="16.5" thickBot="1" x14ac:dyDescent="0.3">
      <c r="A43" s="299">
        <v>1</v>
      </c>
      <c r="B43" s="300">
        <v>1</v>
      </c>
      <c r="C43" s="301"/>
      <c r="D43" s="301"/>
      <c r="E43" s="302"/>
      <c r="F43" s="303"/>
      <c r="G43" s="304"/>
      <c r="H43" s="304"/>
      <c r="I43" s="305"/>
      <c r="J43" s="306"/>
      <c r="K43" s="307"/>
      <c r="L43" s="307"/>
      <c r="M43" s="308"/>
      <c r="N43" s="309"/>
      <c r="O43" s="310"/>
      <c r="P43" s="310"/>
      <c r="Q43" s="311"/>
      <c r="R43" s="312"/>
      <c r="S43" s="313"/>
      <c r="T43" s="313"/>
      <c r="U43" s="314"/>
      <c r="V43" s="315">
        <f>F7</f>
        <v>2198.1023999999998</v>
      </c>
      <c r="X43" s="316" t="s">
        <v>6</v>
      </c>
      <c r="Y43" s="317" t="s">
        <v>7</v>
      </c>
      <c r="Z43" s="318" t="s">
        <v>8</v>
      </c>
      <c r="AA43" s="319" t="s">
        <v>9</v>
      </c>
      <c r="AB43" s="501"/>
      <c r="AC43" s="316" t="s">
        <v>6</v>
      </c>
      <c r="AD43" s="317" t="s">
        <v>7</v>
      </c>
      <c r="AE43" s="318" t="s">
        <v>8</v>
      </c>
      <c r="AF43" s="319" t="s">
        <v>9</v>
      </c>
      <c r="AG43" s="501"/>
      <c r="AH43" s="316" t="s">
        <v>6</v>
      </c>
      <c r="AI43" s="317" t="s">
        <v>7</v>
      </c>
      <c r="AJ43" s="318" t="s">
        <v>8</v>
      </c>
      <c r="AK43" s="319" t="s">
        <v>9</v>
      </c>
      <c r="AL43" s="501"/>
      <c r="AM43" s="316" t="s">
        <v>6</v>
      </c>
      <c r="AN43" s="317" t="s">
        <v>7</v>
      </c>
      <c r="AO43" s="318" t="s">
        <v>8</v>
      </c>
      <c r="AP43" s="319" t="s">
        <v>9</v>
      </c>
      <c r="AQ43" s="451"/>
    </row>
    <row r="44" spans="1:43" ht="15.7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21"/>
      <c r="X44" s="340"/>
      <c r="Y44" s="341"/>
      <c r="Z44" s="341"/>
      <c r="AA44" s="342">
        <v>13</v>
      </c>
      <c r="AB44" s="323">
        <f>AB4*1.55</f>
        <v>22843.480886043686</v>
      </c>
      <c r="AC44" s="324"/>
      <c r="AD44" s="267"/>
      <c r="AE44" s="267"/>
      <c r="AF44" s="268">
        <v>13</v>
      </c>
      <c r="AG44" s="323">
        <f>1.3*AB44</f>
        <v>29696.525151856793</v>
      </c>
      <c r="AH44" s="324"/>
      <c r="AI44" s="267"/>
      <c r="AJ44" s="267"/>
      <c r="AK44" s="268">
        <v>13</v>
      </c>
      <c r="AL44" s="325">
        <f>1.52*AB44</f>
        <v>34722.090946786404</v>
      </c>
      <c r="AM44" s="324"/>
      <c r="AN44" s="267"/>
      <c r="AO44" s="267"/>
      <c r="AP44" s="268">
        <v>13</v>
      </c>
      <c r="AQ44" s="325">
        <f>AB44*1.75</f>
        <v>39976.09155057645</v>
      </c>
    </row>
    <row r="45" spans="1:43" ht="15.7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1"/>
      <c r="X45" s="326"/>
      <c r="Y45" s="327"/>
      <c r="Z45" s="327">
        <v>13</v>
      </c>
      <c r="AA45" s="328">
        <v>12</v>
      </c>
      <c r="AB45" s="329">
        <f>AB5*1.55</f>
        <v>21755.696081946367</v>
      </c>
      <c r="AC45" s="330"/>
      <c r="AD45" s="284"/>
      <c r="AE45" s="284">
        <v>13</v>
      </c>
      <c r="AF45" s="285">
        <v>12</v>
      </c>
      <c r="AG45" s="329">
        <f>1.3*AB45</f>
        <v>28282.404906530279</v>
      </c>
      <c r="AH45" s="330"/>
      <c r="AI45" s="284"/>
      <c r="AJ45" s="284">
        <v>13</v>
      </c>
      <c r="AK45" s="285">
        <v>12</v>
      </c>
      <c r="AL45" s="331">
        <f>1.52*AB45</f>
        <v>33068.658044558477</v>
      </c>
      <c r="AM45" s="330"/>
      <c r="AN45" s="284"/>
      <c r="AO45" s="284">
        <v>13</v>
      </c>
      <c r="AP45" s="285">
        <v>12</v>
      </c>
      <c r="AQ45" s="331">
        <f t="shared" ref="AQ45:AQ59" si="9">1.75*AB45</f>
        <v>38072.468143406142</v>
      </c>
    </row>
    <row r="46" spans="1:43" ht="15.7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1"/>
      <c r="X46" s="326"/>
      <c r="Y46" s="327">
        <v>13</v>
      </c>
      <c r="Z46" s="327">
        <v>12</v>
      </c>
      <c r="AA46" s="328">
        <v>11</v>
      </c>
      <c r="AB46" s="329">
        <f>AB6*1.55</f>
        <v>20719.710554234636</v>
      </c>
      <c r="AC46" s="330"/>
      <c r="AD46" s="284">
        <v>13</v>
      </c>
      <c r="AE46" s="284">
        <v>12</v>
      </c>
      <c r="AF46" s="285">
        <v>11</v>
      </c>
      <c r="AG46" s="329">
        <f>1.3*AB46</f>
        <v>26935.623720505027</v>
      </c>
      <c r="AH46" s="330"/>
      <c r="AI46" s="284">
        <v>13</v>
      </c>
      <c r="AJ46" s="284">
        <v>12</v>
      </c>
      <c r="AK46" s="285">
        <v>11</v>
      </c>
      <c r="AL46" s="331">
        <f>1.52*AB46</f>
        <v>31493.960042436647</v>
      </c>
      <c r="AM46" s="330"/>
      <c r="AN46" s="284">
        <v>13</v>
      </c>
      <c r="AO46" s="284">
        <v>12</v>
      </c>
      <c r="AP46" s="285">
        <v>11</v>
      </c>
      <c r="AQ46" s="331">
        <f t="shared" si="9"/>
        <v>36259.493469910616</v>
      </c>
    </row>
    <row r="47" spans="1:43" ht="15.7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21"/>
      <c r="X47" s="326">
        <v>13</v>
      </c>
      <c r="Y47" s="327">
        <v>12</v>
      </c>
      <c r="Z47" s="327">
        <v>11</v>
      </c>
      <c r="AA47" s="328">
        <v>10</v>
      </c>
      <c r="AB47" s="329">
        <f t="shared" ref="AB47:AB59" si="10">AB7*1.55</f>
        <v>19733.057670699651</v>
      </c>
      <c r="AC47" s="330">
        <v>13</v>
      </c>
      <c r="AD47" s="284">
        <v>12</v>
      </c>
      <c r="AE47" s="284">
        <v>11</v>
      </c>
      <c r="AF47" s="285">
        <v>10</v>
      </c>
      <c r="AG47" s="329">
        <f t="shared" ref="AG47:AG59" si="11">1.3*AB47</f>
        <v>25652.974971909545</v>
      </c>
      <c r="AH47" s="330">
        <v>13</v>
      </c>
      <c r="AI47" s="284">
        <v>12</v>
      </c>
      <c r="AJ47" s="284">
        <v>11</v>
      </c>
      <c r="AK47" s="285">
        <v>10</v>
      </c>
      <c r="AL47" s="331">
        <f t="shared" ref="AL47:AL59" si="12">1.52*AB47</f>
        <v>29994.247659463468</v>
      </c>
      <c r="AM47" s="330">
        <v>13</v>
      </c>
      <c r="AN47" s="284">
        <v>12</v>
      </c>
      <c r="AO47" s="284">
        <v>11</v>
      </c>
      <c r="AP47" s="285">
        <v>10</v>
      </c>
      <c r="AQ47" s="331">
        <f t="shared" si="9"/>
        <v>34532.850923724385</v>
      </c>
    </row>
    <row r="48" spans="1:43" ht="15.7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1"/>
      <c r="X48" s="326">
        <v>12</v>
      </c>
      <c r="Y48" s="327">
        <v>11</v>
      </c>
      <c r="Z48" s="327">
        <v>10</v>
      </c>
      <c r="AA48" s="328">
        <v>9</v>
      </c>
      <c r="AB48" s="329">
        <f>AB8*1.55</f>
        <v>18793.388257809191</v>
      </c>
      <c r="AC48" s="330">
        <v>12</v>
      </c>
      <c r="AD48" s="284">
        <v>11</v>
      </c>
      <c r="AE48" s="284">
        <v>10</v>
      </c>
      <c r="AF48" s="285">
        <v>9</v>
      </c>
      <c r="AG48" s="329">
        <f t="shared" si="11"/>
        <v>24431.404735151948</v>
      </c>
      <c r="AH48" s="330">
        <v>12</v>
      </c>
      <c r="AI48" s="284">
        <v>11</v>
      </c>
      <c r="AJ48" s="284">
        <v>10</v>
      </c>
      <c r="AK48" s="285">
        <v>9</v>
      </c>
      <c r="AL48" s="331">
        <f t="shared" si="12"/>
        <v>28565.950151869969</v>
      </c>
      <c r="AM48" s="330">
        <v>12</v>
      </c>
      <c r="AN48" s="284">
        <v>11</v>
      </c>
      <c r="AO48" s="284">
        <v>10</v>
      </c>
      <c r="AP48" s="285">
        <v>9</v>
      </c>
      <c r="AQ48" s="331">
        <f t="shared" si="9"/>
        <v>32888.429451166085</v>
      </c>
    </row>
    <row r="49" spans="1:43" ht="15.7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21"/>
      <c r="X49" s="326">
        <v>11</v>
      </c>
      <c r="Y49" s="327">
        <v>10</v>
      </c>
      <c r="Z49" s="327">
        <v>9</v>
      </c>
      <c r="AA49" s="328">
        <v>8</v>
      </c>
      <c r="AB49" s="329">
        <f t="shared" si="10"/>
        <v>17898.465007437324</v>
      </c>
      <c r="AC49" s="330">
        <v>11</v>
      </c>
      <c r="AD49" s="284">
        <v>10</v>
      </c>
      <c r="AE49" s="284">
        <v>9</v>
      </c>
      <c r="AF49" s="285">
        <v>8</v>
      </c>
      <c r="AG49" s="329">
        <f t="shared" si="11"/>
        <v>23268.004509668521</v>
      </c>
      <c r="AH49" s="330">
        <v>11</v>
      </c>
      <c r="AI49" s="284">
        <v>10</v>
      </c>
      <c r="AJ49" s="284">
        <v>9</v>
      </c>
      <c r="AK49" s="285">
        <v>8</v>
      </c>
      <c r="AL49" s="331">
        <f t="shared" si="12"/>
        <v>27205.666811304734</v>
      </c>
      <c r="AM49" s="330">
        <v>11</v>
      </c>
      <c r="AN49" s="284">
        <v>10</v>
      </c>
      <c r="AO49" s="284">
        <v>9</v>
      </c>
      <c r="AP49" s="285">
        <v>8</v>
      </c>
      <c r="AQ49" s="331">
        <f t="shared" si="9"/>
        <v>31322.313763015318</v>
      </c>
    </row>
    <row r="50" spans="1:43" ht="15.7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1"/>
      <c r="X50" s="326">
        <v>10</v>
      </c>
      <c r="Y50" s="327">
        <v>9</v>
      </c>
      <c r="Z50" s="327">
        <v>8</v>
      </c>
      <c r="AA50" s="328">
        <v>7</v>
      </c>
      <c r="AB50" s="329">
        <f t="shared" si="10"/>
        <v>17046.157149940307</v>
      </c>
      <c r="AC50" s="330">
        <v>10</v>
      </c>
      <c r="AD50" s="284">
        <v>9</v>
      </c>
      <c r="AE50" s="284">
        <v>8</v>
      </c>
      <c r="AF50" s="285">
        <v>7</v>
      </c>
      <c r="AG50" s="329">
        <f t="shared" si="11"/>
        <v>22160.004294922401</v>
      </c>
      <c r="AH50" s="330">
        <v>10</v>
      </c>
      <c r="AI50" s="284">
        <v>9</v>
      </c>
      <c r="AJ50" s="284">
        <v>8</v>
      </c>
      <c r="AK50" s="285">
        <v>7</v>
      </c>
      <c r="AL50" s="331">
        <f t="shared" si="12"/>
        <v>25910.158867909267</v>
      </c>
      <c r="AM50" s="330">
        <v>10</v>
      </c>
      <c r="AN50" s="284">
        <v>9</v>
      </c>
      <c r="AO50" s="284">
        <v>8</v>
      </c>
      <c r="AP50" s="285">
        <v>7</v>
      </c>
      <c r="AQ50" s="331">
        <f t="shared" si="9"/>
        <v>29830.775012395537</v>
      </c>
    </row>
    <row r="51" spans="1:43" ht="15.7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1"/>
      <c r="X51" s="326">
        <v>9</v>
      </c>
      <c r="Y51" s="327">
        <v>8</v>
      </c>
      <c r="Z51" s="327">
        <v>7</v>
      </c>
      <c r="AA51" s="328">
        <v>6</v>
      </c>
      <c r="AB51" s="329">
        <f t="shared" si="10"/>
        <v>16234.435380895531</v>
      </c>
      <c r="AC51" s="330">
        <v>9</v>
      </c>
      <c r="AD51" s="284">
        <v>8</v>
      </c>
      <c r="AE51" s="284">
        <v>7</v>
      </c>
      <c r="AF51" s="285">
        <v>6</v>
      </c>
      <c r="AG51" s="329">
        <f t="shared" si="11"/>
        <v>21104.765995164191</v>
      </c>
      <c r="AH51" s="330">
        <v>9</v>
      </c>
      <c r="AI51" s="284">
        <v>8</v>
      </c>
      <c r="AJ51" s="284">
        <v>7</v>
      </c>
      <c r="AK51" s="285">
        <v>6</v>
      </c>
      <c r="AL51" s="331">
        <f t="shared" si="12"/>
        <v>24676.341778961207</v>
      </c>
      <c r="AM51" s="330">
        <v>9</v>
      </c>
      <c r="AN51" s="284">
        <v>8</v>
      </c>
      <c r="AO51" s="284">
        <v>7</v>
      </c>
      <c r="AP51" s="285">
        <v>6</v>
      </c>
      <c r="AQ51" s="331">
        <f t="shared" si="9"/>
        <v>28410.261916567179</v>
      </c>
    </row>
    <row r="52" spans="1:43" ht="15.7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1"/>
      <c r="X52" s="326">
        <v>8</v>
      </c>
      <c r="Y52" s="327">
        <v>7</v>
      </c>
      <c r="Z52" s="327">
        <v>6</v>
      </c>
      <c r="AA52" s="328">
        <v>5</v>
      </c>
      <c r="AB52" s="329">
        <f t="shared" si="10"/>
        <v>15461.367029424313</v>
      </c>
      <c r="AC52" s="330">
        <v>8</v>
      </c>
      <c r="AD52" s="284">
        <v>7</v>
      </c>
      <c r="AE52" s="284">
        <v>6</v>
      </c>
      <c r="AF52" s="285">
        <v>5</v>
      </c>
      <c r="AG52" s="329">
        <f t="shared" si="11"/>
        <v>20099.777138251608</v>
      </c>
      <c r="AH52" s="330">
        <v>8</v>
      </c>
      <c r="AI52" s="284">
        <v>7</v>
      </c>
      <c r="AJ52" s="284">
        <v>6</v>
      </c>
      <c r="AK52" s="285">
        <v>5</v>
      </c>
      <c r="AL52" s="331">
        <f t="shared" si="12"/>
        <v>23501.277884724957</v>
      </c>
      <c r="AM52" s="330">
        <v>8</v>
      </c>
      <c r="AN52" s="284">
        <v>7</v>
      </c>
      <c r="AO52" s="284">
        <v>6</v>
      </c>
      <c r="AP52" s="285">
        <v>5</v>
      </c>
      <c r="AQ52" s="331">
        <f t="shared" si="9"/>
        <v>27057.392301492546</v>
      </c>
    </row>
    <row r="53" spans="1:43" ht="15.75" x14ac:dyDescent="0.25">
      <c r="X53" s="326">
        <v>7</v>
      </c>
      <c r="Y53" s="327">
        <v>6</v>
      </c>
      <c r="Z53" s="327">
        <v>5</v>
      </c>
      <c r="AA53" s="328">
        <v>4</v>
      </c>
      <c r="AB53" s="329">
        <f t="shared" si="10"/>
        <v>14725.111456594585</v>
      </c>
      <c r="AC53" s="330">
        <v>7</v>
      </c>
      <c r="AD53" s="284">
        <v>6</v>
      </c>
      <c r="AE53" s="284">
        <v>5</v>
      </c>
      <c r="AF53" s="285">
        <v>4</v>
      </c>
      <c r="AG53" s="329">
        <f t="shared" si="11"/>
        <v>19142.64489357296</v>
      </c>
      <c r="AH53" s="330">
        <v>7</v>
      </c>
      <c r="AI53" s="284">
        <v>6</v>
      </c>
      <c r="AJ53" s="284">
        <v>5</v>
      </c>
      <c r="AK53" s="285">
        <v>4</v>
      </c>
      <c r="AL53" s="331">
        <f t="shared" si="12"/>
        <v>22382.169414023771</v>
      </c>
      <c r="AM53" s="330">
        <v>7</v>
      </c>
      <c r="AN53" s="284">
        <v>6</v>
      </c>
      <c r="AO53" s="284">
        <v>5</v>
      </c>
      <c r="AP53" s="285">
        <v>4</v>
      </c>
      <c r="AQ53" s="331">
        <f t="shared" si="9"/>
        <v>25768.945049040522</v>
      </c>
    </row>
    <row r="54" spans="1:43" ht="15.75" x14ac:dyDescent="0.25">
      <c r="X54" s="326">
        <v>6</v>
      </c>
      <c r="Y54" s="327">
        <v>5</v>
      </c>
      <c r="Z54" s="327">
        <v>4</v>
      </c>
      <c r="AA54" s="328">
        <v>3</v>
      </c>
      <c r="AB54" s="329">
        <f t="shared" si="10"/>
        <v>14023.915672947223</v>
      </c>
      <c r="AC54" s="330">
        <v>6</v>
      </c>
      <c r="AD54" s="284">
        <v>5</v>
      </c>
      <c r="AE54" s="284">
        <v>4</v>
      </c>
      <c r="AF54" s="285">
        <v>3</v>
      </c>
      <c r="AG54" s="329">
        <f t="shared" si="11"/>
        <v>18231.09037483139</v>
      </c>
      <c r="AH54" s="330">
        <v>6</v>
      </c>
      <c r="AI54" s="284">
        <v>5</v>
      </c>
      <c r="AJ54" s="284">
        <v>4</v>
      </c>
      <c r="AK54" s="285">
        <v>3</v>
      </c>
      <c r="AL54" s="331">
        <f t="shared" si="12"/>
        <v>21316.35182287978</v>
      </c>
      <c r="AM54" s="330">
        <v>6</v>
      </c>
      <c r="AN54" s="284">
        <v>5</v>
      </c>
      <c r="AO54" s="284">
        <v>4</v>
      </c>
      <c r="AP54" s="285">
        <v>3</v>
      </c>
      <c r="AQ54" s="331">
        <f t="shared" si="9"/>
        <v>24541.852427657643</v>
      </c>
    </row>
    <row r="55" spans="1:43" ht="15.75" x14ac:dyDescent="0.25">
      <c r="A55" s="467"/>
      <c r="B55" s="467"/>
      <c r="D55" s="475"/>
      <c r="E55" s="475"/>
      <c r="F55" s="475"/>
      <c r="X55" s="326">
        <v>5</v>
      </c>
      <c r="Y55" s="327">
        <v>4</v>
      </c>
      <c r="Z55" s="327">
        <v>3</v>
      </c>
      <c r="AA55" s="328">
        <v>2</v>
      </c>
      <c r="AB55" s="329">
        <f t="shared" si="10"/>
        <v>13356.110164711639</v>
      </c>
      <c r="AC55" s="330">
        <v>5</v>
      </c>
      <c r="AD55" s="284">
        <v>4</v>
      </c>
      <c r="AE55" s="284">
        <v>3</v>
      </c>
      <c r="AF55" s="285">
        <v>2</v>
      </c>
      <c r="AG55" s="329">
        <f t="shared" si="11"/>
        <v>17362.943214125131</v>
      </c>
      <c r="AH55" s="330">
        <v>5</v>
      </c>
      <c r="AI55" s="284">
        <v>4</v>
      </c>
      <c r="AJ55" s="284">
        <v>3</v>
      </c>
      <c r="AK55" s="285">
        <v>2</v>
      </c>
      <c r="AL55" s="331">
        <f t="shared" si="12"/>
        <v>20301.287450361691</v>
      </c>
      <c r="AM55" s="330">
        <v>5</v>
      </c>
      <c r="AN55" s="284">
        <v>4</v>
      </c>
      <c r="AO55" s="284">
        <v>3</v>
      </c>
      <c r="AP55" s="285">
        <v>2</v>
      </c>
      <c r="AQ55" s="331">
        <f t="shared" si="9"/>
        <v>23373.192788245367</v>
      </c>
    </row>
    <row r="56" spans="1:43" ht="15.75" x14ac:dyDescent="0.25">
      <c r="A56" s="96"/>
      <c r="B56" s="467"/>
      <c r="C56" s="467"/>
      <c r="D56" s="96"/>
      <c r="X56" s="326">
        <v>4</v>
      </c>
      <c r="Y56" s="327">
        <v>3</v>
      </c>
      <c r="Z56" s="327">
        <v>2</v>
      </c>
      <c r="AA56" s="328">
        <v>1</v>
      </c>
      <c r="AB56" s="329">
        <f t="shared" si="10"/>
        <v>12720.10491877299</v>
      </c>
      <c r="AC56" s="330">
        <v>4</v>
      </c>
      <c r="AD56" s="284">
        <v>3</v>
      </c>
      <c r="AE56" s="284">
        <v>2</v>
      </c>
      <c r="AF56" s="285">
        <v>1</v>
      </c>
      <c r="AG56" s="329">
        <f t="shared" si="11"/>
        <v>16536.136394404886</v>
      </c>
      <c r="AH56" s="330">
        <v>4</v>
      </c>
      <c r="AI56" s="284">
        <v>3</v>
      </c>
      <c r="AJ56" s="284">
        <v>2</v>
      </c>
      <c r="AK56" s="285">
        <v>1</v>
      </c>
      <c r="AL56" s="331">
        <f t="shared" si="12"/>
        <v>19334.559476534945</v>
      </c>
      <c r="AM56" s="330">
        <v>4</v>
      </c>
      <c r="AN56" s="284">
        <v>3</v>
      </c>
      <c r="AO56" s="284">
        <v>2</v>
      </c>
      <c r="AP56" s="285">
        <v>1</v>
      </c>
      <c r="AQ56" s="331">
        <f t="shared" si="9"/>
        <v>22260.18360785273</v>
      </c>
    </row>
    <row r="57" spans="1:43" ht="15.75" x14ac:dyDescent="0.25">
      <c r="A57" s="96"/>
      <c r="B57" s="467"/>
      <c r="C57" s="467"/>
      <c r="D57" s="96"/>
      <c r="X57" s="326">
        <v>3</v>
      </c>
      <c r="Y57" s="327">
        <v>2</v>
      </c>
      <c r="Z57" s="327">
        <v>1</v>
      </c>
      <c r="AA57" s="328"/>
      <c r="AB57" s="329">
        <f t="shared" si="10"/>
        <v>12114.385636926656</v>
      </c>
      <c r="AC57" s="330">
        <v>3</v>
      </c>
      <c r="AD57" s="284">
        <v>2</v>
      </c>
      <c r="AE57" s="284">
        <v>1</v>
      </c>
      <c r="AF57" s="285"/>
      <c r="AG57" s="329">
        <f t="shared" si="11"/>
        <v>15748.701328004654</v>
      </c>
      <c r="AH57" s="330">
        <v>3</v>
      </c>
      <c r="AI57" s="284">
        <v>2</v>
      </c>
      <c r="AJ57" s="284">
        <v>1</v>
      </c>
      <c r="AK57" s="285"/>
      <c r="AL57" s="331">
        <f t="shared" si="12"/>
        <v>18413.866168128516</v>
      </c>
      <c r="AM57" s="330">
        <v>3</v>
      </c>
      <c r="AN57" s="284">
        <v>2</v>
      </c>
      <c r="AO57" s="284">
        <v>1</v>
      </c>
      <c r="AP57" s="285"/>
      <c r="AQ57" s="331">
        <f t="shared" si="9"/>
        <v>21200.174864621647</v>
      </c>
    </row>
    <row r="58" spans="1:43" ht="15.75" x14ac:dyDescent="0.25">
      <c r="A58" s="96"/>
      <c r="B58" s="467"/>
      <c r="C58" s="467"/>
      <c r="D58" s="96"/>
      <c r="X58" s="326">
        <v>2</v>
      </c>
      <c r="Y58" s="327">
        <v>1</v>
      </c>
      <c r="Z58" s="327"/>
      <c r="AA58" s="328"/>
      <c r="AB58" s="329">
        <f t="shared" si="10"/>
        <v>11537.510130406339</v>
      </c>
      <c r="AC58" s="330">
        <v>2</v>
      </c>
      <c r="AD58" s="284">
        <v>1</v>
      </c>
      <c r="AE58" s="284"/>
      <c r="AF58" s="285"/>
      <c r="AG58" s="329">
        <f t="shared" si="11"/>
        <v>14998.763169528242</v>
      </c>
      <c r="AH58" s="330">
        <v>2</v>
      </c>
      <c r="AI58" s="284">
        <v>1</v>
      </c>
      <c r="AJ58" s="284"/>
      <c r="AK58" s="285"/>
      <c r="AL58" s="331">
        <f t="shared" si="12"/>
        <v>17537.015398217634</v>
      </c>
      <c r="AM58" s="330">
        <v>2</v>
      </c>
      <c r="AN58" s="284">
        <v>1</v>
      </c>
      <c r="AO58" s="284"/>
      <c r="AP58" s="285"/>
      <c r="AQ58" s="331">
        <f t="shared" si="9"/>
        <v>20190.642728211093</v>
      </c>
    </row>
    <row r="59" spans="1:43" ht="16.5" thickBot="1" x14ac:dyDescent="0.3">
      <c r="A59" s="96"/>
      <c r="B59" s="467"/>
      <c r="C59" s="467"/>
      <c r="D59" s="96"/>
      <c r="X59" s="332">
        <v>1</v>
      </c>
      <c r="Y59" s="343"/>
      <c r="Z59" s="343"/>
      <c r="AA59" s="334"/>
      <c r="AB59" s="335">
        <f t="shared" si="10"/>
        <v>10988.104886101275</v>
      </c>
      <c r="AC59" s="336">
        <v>1</v>
      </c>
      <c r="AD59" s="337"/>
      <c r="AE59" s="337"/>
      <c r="AF59" s="338"/>
      <c r="AG59" s="335">
        <f t="shared" si="11"/>
        <v>14284.536351931658</v>
      </c>
      <c r="AH59" s="336">
        <v>1</v>
      </c>
      <c r="AI59" s="337"/>
      <c r="AJ59" s="337"/>
      <c r="AK59" s="338"/>
      <c r="AL59" s="339">
        <f t="shared" si="12"/>
        <v>16701.919426873937</v>
      </c>
      <c r="AM59" s="336">
        <v>1</v>
      </c>
      <c r="AN59" s="337"/>
      <c r="AO59" s="337"/>
      <c r="AP59" s="338"/>
      <c r="AQ59" s="339">
        <f t="shared" si="9"/>
        <v>19229.183550677233</v>
      </c>
    </row>
    <row r="60" spans="1:43" x14ac:dyDescent="0.25">
      <c r="A60" s="96"/>
      <c r="B60" s="467"/>
      <c r="C60" s="467"/>
      <c r="D60" s="96"/>
    </row>
    <row r="61" spans="1:43" x14ac:dyDescent="0.25">
      <c r="A61" s="96"/>
      <c r="B61" s="467"/>
      <c r="C61" s="467"/>
      <c r="D61" s="96"/>
    </row>
    <row r="62" spans="1:43" x14ac:dyDescent="0.25">
      <c r="A62" s="96"/>
      <c r="B62" s="467"/>
      <c r="C62" s="467"/>
      <c r="D62" s="96"/>
    </row>
    <row r="63" spans="1:43" x14ac:dyDescent="0.25">
      <c r="A63" s="96"/>
      <c r="B63" s="467"/>
      <c r="C63" s="467"/>
      <c r="D63" s="96"/>
    </row>
    <row r="64" spans="1:43" x14ac:dyDescent="0.25">
      <c r="A64" s="96"/>
      <c r="B64" s="467"/>
      <c r="C64" s="467"/>
      <c r="D64" s="96"/>
    </row>
    <row r="65" spans="1:4" x14ac:dyDescent="0.25">
      <c r="A65" s="96"/>
      <c r="B65" s="467"/>
      <c r="C65" s="467"/>
      <c r="D65" s="96"/>
    </row>
    <row r="66" spans="1:4" x14ac:dyDescent="0.25">
      <c r="A66" s="96"/>
      <c r="B66" s="467"/>
      <c r="C66" s="467"/>
      <c r="D66" s="96"/>
    </row>
    <row r="67" spans="1:4" x14ac:dyDescent="0.25">
      <c r="A67" s="96"/>
      <c r="B67" s="467"/>
      <c r="C67" s="467"/>
      <c r="D67" s="96"/>
    </row>
    <row r="68" spans="1:4" x14ac:dyDescent="0.25">
      <c r="A68" s="96"/>
      <c r="B68" s="467"/>
      <c r="C68" s="467"/>
      <c r="D68" s="96"/>
    </row>
    <row r="69" spans="1:4" x14ac:dyDescent="0.25">
      <c r="A69" s="96"/>
      <c r="B69" s="467"/>
      <c r="C69" s="467"/>
    </row>
    <row r="70" spans="1:4" x14ac:dyDescent="0.25">
      <c r="A70" s="96"/>
      <c r="B70" s="467"/>
      <c r="C70" s="467"/>
    </row>
    <row r="71" spans="1:4" x14ac:dyDescent="0.25">
      <c r="A71" s="96"/>
      <c r="B71" s="467"/>
      <c r="C71" s="467"/>
    </row>
  </sheetData>
  <mergeCells count="57">
    <mergeCell ref="B70:C70"/>
    <mergeCell ref="D55:F55"/>
    <mergeCell ref="B71:C71"/>
    <mergeCell ref="X1:AQ1"/>
    <mergeCell ref="X2:AA2"/>
    <mergeCell ref="AB2:AB3"/>
    <mergeCell ref="AC2:AF2"/>
    <mergeCell ref="AG2:AG3"/>
    <mergeCell ref="AH2:AK2"/>
    <mergeCell ref="AL2:AL3"/>
    <mergeCell ref="AM2:AP2"/>
    <mergeCell ref="AQ2:AQ3"/>
    <mergeCell ref="B65:C65"/>
    <mergeCell ref="B66:C66"/>
    <mergeCell ref="B67:C67"/>
    <mergeCell ref="B68:C68"/>
    <mergeCell ref="B69:C69"/>
    <mergeCell ref="B63:C63"/>
    <mergeCell ref="B64:C64"/>
    <mergeCell ref="A55:B55"/>
    <mergeCell ref="B56:C56"/>
    <mergeCell ref="B57:C57"/>
    <mergeCell ref="B58:C58"/>
    <mergeCell ref="B59:C59"/>
    <mergeCell ref="B60:C60"/>
    <mergeCell ref="B61:C61"/>
    <mergeCell ref="B62:C62"/>
    <mergeCell ref="F6:I6"/>
    <mergeCell ref="J6:M6"/>
    <mergeCell ref="F7:I7"/>
    <mergeCell ref="J7:M7"/>
    <mergeCell ref="A1:V1"/>
    <mergeCell ref="A2:A3"/>
    <mergeCell ref="B2:E2"/>
    <mergeCell ref="F2:I2"/>
    <mergeCell ref="J2:M2"/>
    <mergeCell ref="N2:Q2"/>
    <mergeCell ref="R2:U2"/>
    <mergeCell ref="V2:V3"/>
    <mergeCell ref="X21:AQ21"/>
    <mergeCell ref="X22:AA22"/>
    <mergeCell ref="AB22:AB23"/>
    <mergeCell ref="AC22:AF22"/>
    <mergeCell ref="AG22:AG23"/>
    <mergeCell ref="AH22:AK22"/>
    <mergeCell ref="AL22:AL23"/>
    <mergeCell ref="AM22:AP22"/>
    <mergeCell ref="AQ22:AQ23"/>
    <mergeCell ref="X41:AQ41"/>
    <mergeCell ref="X42:AA42"/>
    <mergeCell ref="AB42:AB43"/>
    <mergeCell ref="AC42:AF42"/>
    <mergeCell ref="AG42:AG43"/>
    <mergeCell ref="AH42:AK42"/>
    <mergeCell ref="AL42:AL43"/>
    <mergeCell ref="AM42:AP42"/>
    <mergeCell ref="AQ42:AQ43"/>
  </mergeCells>
  <pageMargins left="0.19685039370078741" right="0.11811023622047245" top="0.19685039370078741" bottom="0.19685039370078741" header="0.31496062992125984" footer="0.31496062992125984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"/>
  <sheetViews>
    <sheetView topLeftCell="B1" workbookViewId="0">
      <pane ySplit="2" topLeftCell="A6" activePane="bottomLeft" state="frozen"/>
      <selection activeCell="B1" sqref="B1"/>
      <selection pane="bottomLeft" activeCell="C3" sqref="C3"/>
    </sheetView>
  </sheetViews>
  <sheetFormatPr defaultRowHeight="15" x14ac:dyDescent="0.25"/>
  <cols>
    <col min="1" max="1" width="4.28515625" style="96" customWidth="1"/>
    <col min="2" max="2" width="8.28515625" style="345" customWidth="1"/>
    <col min="3" max="3" width="6.28515625" style="100" customWidth="1"/>
    <col min="4" max="4" width="3.85546875" style="346" customWidth="1"/>
    <col min="5" max="5" width="8.5703125" bestFit="1" customWidth="1"/>
    <col min="6" max="6" width="7" customWidth="1"/>
    <col min="7" max="7" width="4" customWidth="1"/>
    <col min="8" max="8" width="8.140625" bestFit="1" customWidth="1"/>
    <col min="9" max="9" width="6.85546875" customWidth="1"/>
    <col min="10" max="10" width="4.42578125" customWidth="1"/>
    <col min="12" max="12" width="7" customWidth="1"/>
    <col min="13" max="13" width="3.85546875" customWidth="1"/>
    <col min="14" max="14" width="9.140625" customWidth="1"/>
    <col min="15" max="15" width="7" customWidth="1"/>
  </cols>
  <sheetData>
    <row r="1" spans="1:15" x14ac:dyDescent="0.25">
      <c r="A1" s="524" t="s">
        <v>42</v>
      </c>
      <c r="B1" s="530" t="s">
        <v>46</v>
      </c>
      <c r="C1" s="528" t="s">
        <v>44</v>
      </c>
      <c r="D1" s="524" t="s">
        <v>42</v>
      </c>
      <c r="E1" s="526" t="s">
        <v>45</v>
      </c>
      <c r="F1" s="522" t="s">
        <v>44</v>
      </c>
      <c r="G1" s="524" t="s">
        <v>42</v>
      </c>
      <c r="H1" s="526" t="s">
        <v>43</v>
      </c>
      <c r="I1" s="528" t="s">
        <v>44</v>
      </c>
      <c r="J1" s="532" t="s">
        <v>42</v>
      </c>
      <c r="K1" s="526" t="s">
        <v>47</v>
      </c>
      <c r="L1" s="522" t="s">
        <v>44</v>
      </c>
      <c r="M1" s="524" t="s">
        <v>42</v>
      </c>
      <c r="N1" s="526" t="s">
        <v>48</v>
      </c>
      <c r="O1" s="528" t="s">
        <v>44</v>
      </c>
    </row>
    <row r="2" spans="1:15" ht="15.75" thickBot="1" x14ac:dyDescent="0.3">
      <c r="A2" s="525"/>
      <c r="B2" s="531"/>
      <c r="C2" s="529"/>
      <c r="D2" s="525"/>
      <c r="E2" s="527"/>
      <c r="F2" s="523"/>
      <c r="G2" s="525"/>
      <c r="H2" s="527"/>
      <c r="I2" s="529"/>
      <c r="J2" s="533"/>
      <c r="K2" s="527"/>
      <c r="L2" s="523"/>
      <c r="M2" s="525"/>
      <c r="N2" s="527"/>
      <c r="O2" s="529"/>
    </row>
    <row r="3" spans="1:15" x14ac:dyDescent="0.25">
      <c r="A3" s="356">
        <v>16</v>
      </c>
      <c r="B3" s="355">
        <f>'2024'!V28</f>
        <v>4569.6970205917578</v>
      </c>
      <c r="C3" s="365">
        <f>(B3-'PCCTAE 2023'!V34)*100/'PCCTAE 2023'!V34</f>
        <v>58.709080839974128</v>
      </c>
      <c r="D3" s="359">
        <v>22</v>
      </c>
      <c r="E3" s="364">
        <f>'2024'!V22</f>
        <v>6123.8310562720662</v>
      </c>
      <c r="F3" s="365">
        <f>(E3-'PCCTAE 2023'!V32)*100/'PCCTAE 2023'!V32</f>
        <v>97.018258432443758</v>
      </c>
      <c r="G3" s="350">
        <v>28</v>
      </c>
      <c r="H3" s="369">
        <f>'2024'!V16</f>
        <v>8206.5193024341861</v>
      </c>
      <c r="I3" s="376">
        <f>(H3-'PCCTAE 2023'!V24)*100/'PCCTAE 2023'!V24</f>
        <v>94.409681923872782</v>
      </c>
      <c r="J3" s="379">
        <v>34</v>
      </c>
      <c r="K3" s="374">
        <f>'2024'!V10</f>
        <v>10997.520741896973</v>
      </c>
      <c r="L3" s="376">
        <f>(K3-'PCCTAE 2023'!V18)*100/'PCCTAE 2023'!V18</f>
        <v>107.09060591554791</v>
      </c>
      <c r="M3" s="350">
        <v>40</v>
      </c>
      <c r="N3" s="368">
        <f>'2024'!V4</f>
        <v>14737.729603899152</v>
      </c>
      <c r="O3" s="376">
        <f>(N3-'PCCTAE 2023'!V4)*100/'PCCTAE 2023'!V4</f>
        <v>62.434594053388338</v>
      </c>
    </row>
    <row r="4" spans="1:15" x14ac:dyDescent="0.25">
      <c r="A4" s="357">
        <v>15</v>
      </c>
      <c r="B4" s="347">
        <f>'2024'!V29</f>
        <v>4352.0924005635788</v>
      </c>
      <c r="C4" s="366">
        <f>(B4-'PCCTAE 2023'!V35)*100/'PCCTAE 2023'!V35</f>
        <v>57.046414278793442</v>
      </c>
      <c r="D4" s="360">
        <v>21</v>
      </c>
      <c r="E4" s="363">
        <f>'2024'!V23</f>
        <v>5832.2200535924439</v>
      </c>
      <c r="F4" s="366">
        <f>(E4-'PCCTAE 2023'!V30)*100/'PCCTAE 2023'!V33</f>
        <v>82.792025729818164</v>
      </c>
      <c r="G4" s="372">
        <v>27</v>
      </c>
      <c r="H4" s="370">
        <f>'2024'!V17</f>
        <v>7815.7326689849397</v>
      </c>
      <c r="I4" s="377">
        <f>(H4-'PCCTAE 2023'!V25)*100/'PCCTAE 2023'!V25</f>
        <v>92.373009065622668</v>
      </c>
      <c r="J4" s="380">
        <v>33</v>
      </c>
      <c r="K4" s="373">
        <f>'2024'!V11</f>
        <v>10473.829277997116</v>
      </c>
      <c r="L4" s="377">
        <f>(K4-'PCCTAE 2023'!V19)*100/'PCCTAE 2023'!V19</f>
        <v>104.92108528214689</v>
      </c>
      <c r="M4" s="372">
        <v>39</v>
      </c>
      <c r="N4" s="349">
        <f>'2024'!V5</f>
        <v>14035.93295609443</v>
      </c>
      <c r="O4" s="377">
        <f>(N4-'PCCTAE 2023'!V5)*100/'PCCTAE 2023'!V5</f>
        <v>60.73289830616234</v>
      </c>
    </row>
    <row r="5" spans="1:15" x14ac:dyDescent="0.25">
      <c r="A5" s="357">
        <v>14</v>
      </c>
      <c r="B5" s="347">
        <f>'2024'!V30</f>
        <v>4144.8499052986463</v>
      </c>
      <c r="C5" s="366">
        <f>(B5-'PCCTAE 2023'!V36)*100/'PCCTAE 2023'!V36</f>
        <v>55.401166129206068</v>
      </c>
      <c r="D5" s="360">
        <v>20</v>
      </c>
      <c r="E5" s="363">
        <f>'2024'!V24</f>
        <v>5554.4952891356606</v>
      </c>
      <c r="F5" s="366">
        <f>(E5-'PCCTAE 2023'!V34)*100/'PCCTAE 2023'!V34</f>
        <v>92.911879692743824</v>
      </c>
      <c r="G5" s="372">
        <v>26</v>
      </c>
      <c r="H5" s="370">
        <f>'2024'!V18</f>
        <v>7443.554922842799</v>
      </c>
      <c r="I5" s="377">
        <f>(H5-'PCCTAE 2023'!V26)*100/'PCCTAE 2023'!V26</f>
        <v>90.357672780173274</v>
      </c>
      <c r="J5" s="380">
        <v>32</v>
      </c>
      <c r="K5" s="373">
        <f>'2024'!V12</f>
        <v>9975.0755028543954</v>
      </c>
      <c r="L5" s="377">
        <f>(K5-'PCCTAE 2023'!V20)*100/'PCCTAE 2023'!V20</f>
        <v>102.7742929601434</v>
      </c>
      <c r="M5" s="372">
        <v>38</v>
      </c>
      <c r="N5" s="349">
        <f>'2024'!V6</f>
        <v>13367.555196280409</v>
      </c>
      <c r="O5" s="377">
        <f>(N5-'PCCTAE 2023'!V6)*100/'PCCTAE 2023'!V6</f>
        <v>59.049029847716817</v>
      </c>
    </row>
    <row r="6" spans="1:15" x14ac:dyDescent="0.25">
      <c r="A6" s="357">
        <v>13</v>
      </c>
      <c r="B6" s="347">
        <f>'2024'!V31</f>
        <v>3947.4761002844252</v>
      </c>
      <c r="C6" s="366">
        <f>(B6-'PCCTAE 2023'!V37)*100/'PCCTAE 2023'!V37</f>
        <v>53.773153912614383</v>
      </c>
      <c r="D6" s="360">
        <v>19</v>
      </c>
      <c r="E6" s="363">
        <f>'2024'!V25</f>
        <v>5289.9955134625334</v>
      </c>
      <c r="F6" s="366">
        <f>(E6-'PCCTAE 2023'!V32)*100/'PCCTAE 2023'!V35</f>
        <v>78.728666195962703</v>
      </c>
      <c r="G6" s="372">
        <v>25</v>
      </c>
      <c r="H6" s="370">
        <f>'2024'!V19</f>
        <v>7089.0999265169512</v>
      </c>
      <c r="I6" s="377">
        <f>(H6-'PCCTAE 2023'!V27)*100/'PCCTAE 2023'!V27</f>
        <v>88.363449541523821</v>
      </c>
      <c r="J6" s="380">
        <v>31</v>
      </c>
      <c r="K6" s="373">
        <f>'2024'!V13</f>
        <v>9500.0719074803765</v>
      </c>
      <c r="L6" s="377">
        <f>(K6-'PCCTAE 2023'!V21)*100/'PCCTAE 2023'!V21</f>
        <v>100.64999084341807</v>
      </c>
      <c r="M6" s="372">
        <v>37</v>
      </c>
      <c r="N6" s="349">
        <f>'2024'!V7</f>
        <v>12731.004948838485</v>
      </c>
      <c r="O6" s="377">
        <f>(N6-'PCCTAE 2023'!V7)*100/'PCCTAE 2023'!V7</f>
        <v>57.382801915978817</v>
      </c>
    </row>
    <row r="7" spans="1:15" x14ac:dyDescent="0.25">
      <c r="A7" s="357">
        <v>12</v>
      </c>
      <c r="B7" s="347">
        <f>'2024'!V32</f>
        <v>3759.5010478899285</v>
      </c>
      <c r="C7" s="366">
        <f>(B7-'PCCTAE 2023'!V38)*100/'PCCTAE 2023'!V38</f>
        <v>52.162197062101249</v>
      </c>
      <c r="D7" s="360">
        <v>18</v>
      </c>
      <c r="E7" s="363">
        <f>'2024'!V26</f>
        <v>5038.0909652024129</v>
      </c>
      <c r="F7" s="366">
        <f>(E7-'PCCTAE 2023'!V36)*100/'PCCTAE 2023'!V36</f>
        <v>88.891088687338296</v>
      </c>
      <c r="G7" s="372">
        <v>24</v>
      </c>
      <c r="H7" s="370">
        <f>'2024'!V20</f>
        <v>6751.5237395399536</v>
      </c>
      <c r="I7" s="377">
        <f>(H7-'PCCTAE 2023'!V28)*100/'PCCTAE 2023'!V28</f>
        <v>86.390118165374503</v>
      </c>
      <c r="J7" s="380">
        <v>30</v>
      </c>
      <c r="K7" s="373">
        <f>'2024'!V14</f>
        <v>9047.687530933692</v>
      </c>
      <c r="L7" s="377">
        <f>(K7-'PCCTAE 2023'!V22)*100/'PCCTAE 2023'!V22</f>
        <v>98.547943320296525</v>
      </c>
      <c r="M7" s="372">
        <v>36</v>
      </c>
      <c r="N7" s="349">
        <f>'2024'!V8</f>
        <v>12124.766617941414</v>
      </c>
      <c r="O7" s="377">
        <f>(N7-'PCCTAE 2023'!V8)*100/'PCCTAE 2023'!V8</f>
        <v>55.734029705430437</v>
      </c>
    </row>
    <row r="8" spans="1:15" x14ac:dyDescent="0.25">
      <c r="A8" s="357">
        <v>11</v>
      </c>
      <c r="B8" s="347">
        <f>'2024'!V33</f>
        <v>3580.4771884665984</v>
      </c>
      <c r="C8" s="366">
        <f>(B8-'PCCTAE 2023'!V39)*100/'PCCTAE 2023'!V39</f>
        <v>50.568116902403041</v>
      </c>
      <c r="D8" s="360">
        <v>17</v>
      </c>
      <c r="E8" s="363">
        <f>'2024'!V27</f>
        <v>4798.1818716213456</v>
      </c>
      <c r="F8" s="366">
        <f>(E8-'PCCTAE 2023'!V34)*100/'PCCTAE 2023'!V37</f>
        <v>74.749997762994752</v>
      </c>
      <c r="G8" s="372">
        <v>23</v>
      </c>
      <c r="H8" s="370">
        <f>'2024'!V21</f>
        <v>6430.0226090856695</v>
      </c>
      <c r="I8" s="377">
        <f>(H8-'PCCTAE 2023'!V29)*100/'PCCTAE 2023'!V29</f>
        <v>84.437459784594367</v>
      </c>
      <c r="J8" s="380">
        <v>29</v>
      </c>
      <c r="K8" s="373">
        <f>'2024'!V15</f>
        <v>8616.8452675558965</v>
      </c>
      <c r="L8" s="377">
        <f>(K8-'PCCTAE 2023'!V23)*100/'PCCTAE 2023'!V23</f>
        <v>96.467917247417191</v>
      </c>
      <c r="M8" s="372">
        <v>35</v>
      </c>
      <c r="N8" s="349">
        <f>'2024'!V9</f>
        <v>11547.396778991822</v>
      </c>
      <c r="O8" s="377">
        <f>(N8-'PCCTAE 2023'!V9)*100/'PCCTAE 2023'!V9</f>
        <v>54.102530346611644</v>
      </c>
    </row>
    <row r="9" spans="1:15" x14ac:dyDescent="0.25">
      <c r="A9" s="357">
        <v>10</v>
      </c>
      <c r="B9" s="347">
        <f>'2024'!V34</f>
        <v>3409.9782747300937</v>
      </c>
      <c r="C9" s="366">
        <f>(B9-'PCCTAE 2023'!V40)*100/'PCCTAE 2023'!V40</f>
        <v>48.990736630092144</v>
      </c>
      <c r="D9" s="360">
        <v>16</v>
      </c>
      <c r="E9" s="363">
        <f>'2024'!V28</f>
        <v>4569.6970205917578</v>
      </c>
      <c r="F9" s="366">
        <f>(E9-'PCCTAE 2023'!V38)*100/'PCCTAE 2023'!V38</f>
        <v>84.954101542715719</v>
      </c>
      <c r="G9" s="372">
        <v>22</v>
      </c>
      <c r="H9" s="370">
        <f>'2024'!V22</f>
        <v>6123.8310562720662</v>
      </c>
      <c r="I9" s="377">
        <f>(H9-'PCCTAE 2023'!V30)*100/'PCCTAE 2023'!V30</f>
        <v>82.505257824946227</v>
      </c>
      <c r="J9" s="380">
        <v>28</v>
      </c>
      <c r="K9" s="373">
        <f>'2024'!V16</f>
        <v>8206.5193024341861</v>
      </c>
      <c r="L9" s="377">
        <f>(K9-'PCCTAE 2023'!V24)*100/'PCCTAE 2023'!V24</f>
        <v>94.409681923872782</v>
      </c>
      <c r="M9" s="372">
        <v>34</v>
      </c>
      <c r="N9" s="349">
        <f>'2024'!V10</f>
        <v>10997.520741896973</v>
      </c>
      <c r="O9" s="377">
        <f>(N9-'PCCTAE 2023'!V10)*100/'PCCTAE 2023'!V10</f>
        <v>52.488122885837576</v>
      </c>
    </row>
    <row r="10" spans="1:15" x14ac:dyDescent="0.25">
      <c r="A10" s="357">
        <v>9</v>
      </c>
      <c r="B10" s="347">
        <f>'2024'!V35</f>
        <v>3247.5983568858032</v>
      </c>
      <c r="C10" s="366">
        <f>(B10-'PCCTAE 2023'!V41)*100/'PCCTAE 2023'!V41</f>
        <v>47.429881293967334</v>
      </c>
      <c r="D10" s="360">
        <v>15</v>
      </c>
      <c r="E10" s="363">
        <f>'2024'!V29</f>
        <v>4352.0924005635788</v>
      </c>
      <c r="F10" s="366">
        <f>(E10-'PCCTAE 2023'!V36)*100/'PCCTAE 2023'!V39</f>
        <v>70.854255245601578</v>
      </c>
      <c r="G10" s="372">
        <v>21</v>
      </c>
      <c r="H10" s="370">
        <f>'2024'!V23</f>
        <v>5832.2200535924439</v>
      </c>
      <c r="I10" s="377">
        <f>(H10-'PCCTAE 2023'!V31)*100/'PCCTAE 2023'!V31</f>
        <v>80.593297981065845</v>
      </c>
      <c r="J10" s="380">
        <v>27</v>
      </c>
      <c r="K10" s="373">
        <f>'2024'!V17</f>
        <v>7815.7326689849397</v>
      </c>
      <c r="L10" s="377">
        <f>(K10-'PCCTAE 2023'!V25)*100/'PCCTAE 2023'!V25</f>
        <v>92.373009065622668</v>
      </c>
      <c r="M10" s="372">
        <v>33</v>
      </c>
      <c r="N10" s="349">
        <f>'2024'!V11</f>
        <v>10473.829277997116</v>
      </c>
      <c r="O10" s="377">
        <f>(N10-'PCCTAE 2023'!V11)*100/'PCCTAE 2023'!V11</f>
        <v>50.890628265128775</v>
      </c>
    </row>
    <row r="11" spans="1:15" x14ac:dyDescent="0.25">
      <c r="A11" s="357">
        <v>8</v>
      </c>
      <c r="B11" s="347">
        <f>'2024'!V36</f>
        <v>3092.9508160817172</v>
      </c>
      <c r="C11" s="366">
        <f>(B11-'PCCTAE 2023'!V42)*100/'PCCTAE 2023'!V42</f>
        <v>45.885377775649559</v>
      </c>
      <c r="D11" s="360">
        <v>14</v>
      </c>
      <c r="E11" s="363">
        <f>'2024'!V30</f>
        <v>4144.8499052986463</v>
      </c>
      <c r="F11" s="366">
        <f>(E11-'PCCTAE 2023'!V40)*100/'PCCTAE 2023'!V40</f>
        <v>81.099171565980953</v>
      </c>
      <c r="G11" s="372">
        <v>20</v>
      </c>
      <c r="H11" s="370">
        <f>'2024'!V24</f>
        <v>5554.4952891356606</v>
      </c>
      <c r="I11" s="377">
        <f>(H11-'PCCTAE 2023'!V32)*100/'PCCTAE 2023'!V32</f>
        <v>78.701368192692755</v>
      </c>
      <c r="J11" s="380">
        <v>26</v>
      </c>
      <c r="K11" s="373">
        <f>'2024'!V18</f>
        <v>7443.554922842799</v>
      </c>
      <c r="L11" s="377">
        <f>(K11-'PCCTAE 2023'!V26)*100/'PCCTAE 2023'!V26</f>
        <v>90.357672780173274</v>
      </c>
      <c r="M11" s="372">
        <v>32</v>
      </c>
      <c r="N11" s="349">
        <f>'2024'!V12</f>
        <v>9975.0755028543954</v>
      </c>
      <c r="O11" s="377">
        <f>(N11-'PCCTAE 2023'!V12)*100/'PCCTAE 2023'!V12</f>
        <v>49.309869302351217</v>
      </c>
    </row>
    <row r="12" spans="1:15" x14ac:dyDescent="0.25">
      <c r="A12" s="357">
        <v>7</v>
      </c>
      <c r="B12" s="347">
        <f>'2024'!V37</f>
        <v>2945.6674438873497</v>
      </c>
      <c r="C12" s="366">
        <f>(B12-'PCCTAE 2023'!V43)*100/'PCCTAE 2023'!V43</f>
        <v>44.357054770380827</v>
      </c>
      <c r="D12" s="360">
        <v>13</v>
      </c>
      <c r="E12" s="363">
        <f>'2024'!V31</f>
        <v>3947.4761002844252</v>
      </c>
      <c r="F12" s="366">
        <f>(E12-'PCCTAE 2023'!V38)*100/'PCCTAE 2023'!V41</f>
        <v>67.039710249575435</v>
      </c>
      <c r="G12" s="372">
        <v>19</v>
      </c>
      <c r="H12" s="370">
        <f>'2024'!V25</f>
        <v>5289.9955134625334</v>
      </c>
      <c r="I12" s="377">
        <f>(H12-'PCCTAE 2023'!V33)*100/'PCCTAE 2023'!V33</f>
        <v>76.829258621150217</v>
      </c>
      <c r="J12" s="380">
        <v>25</v>
      </c>
      <c r="K12" s="373">
        <f>'2024'!V19</f>
        <v>7089.0999265169512</v>
      </c>
      <c r="L12" s="377">
        <f>(K12-'PCCTAE 2023'!V27)*100/'PCCTAE 2023'!V27</f>
        <v>88.363449541523821</v>
      </c>
      <c r="M12" s="372">
        <v>31</v>
      </c>
      <c r="N12" s="349">
        <f>'2024'!V13</f>
        <v>9500.0719074803765</v>
      </c>
      <c r="O12" s="377">
        <f>(N12-'PCCTAE 2023'!V13)*100/'PCCTAE 2023'!V13</f>
        <v>47.74567067156466</v>
      </c>
    </row>
    <row r="13" spans="1:15" x14ac:dyDescent="0.25">
      <c r="A13" s="357">
        <v>6</v>
      </c>
      <c r="B13" s="347">
        <f>'2024'!V38</f>
        <v>2805.3975656069997</v>
      </c>
      <c r="C13" s="366">
        <f>(B13-'PCCTAE 2023'!V44)*100/'PCCTAE 2023'!V44</f>
        <v>42.844742768024446</v>
      </c>
      <c r="D13" s="360">
        <v>12</v>
      </c>
      <c r="E13" s="363">
        <f>'2024'!V32</f>
        <v>3759.5010478899285</v>
      </c>
      <c r="F13" s="366">
        <f>(E13-'PCCTAE 2023'!V42)*100/'PCCTAE 2023'!V42</f>
        <v>77.324588469913181</v>
      </c>
      <c r="G13" s="372">
        <v>18</v>
      </c>
      <c r="H13" s="370">
        <f>'2024'!V26</f>
        <v>5038.0909652024129</v>
      </c>
      <c r="I13" s="377">
        <f>(H13-'PCCTAE 2023'!V34)*100/'PCCTAE 2023'!V34</f>
        <v>74.976761626071479</v>
      </c>
      <c r="J13" s="380">
        <v>24</v>
      </c>
      <c r="K13" s="373">
        <f>'2024'!V20</f>
        <v>6751.5237395399536</v>
      </c>
      <c r="L13" s="377">
        <f>(K13-'PCCTAE 2023'!V28)*100/'PCCTAE 2023'!V28</f>
        <v>86.390118165374503</v>
      </c>
      <c r="M13" s="372">
        <v>30</v>
      </c>
      <c r="N13" s="349">
        <f>'2024'!V14</f>
        <v>9047.687530933692</v>
      </c>
      <c r="O13" s="377">
        <f>(N13-'PCCTAE 2023'!V14)*100/'PCCTAE 2023'!V14</f>
        <v>46.197858883576835</v>
      </c>
    </row>
    <row r="14" spans="1:15" x14ac:dyDescent="0.25">
      <c r="A14" s="357">
        <v>5</v>
      </c>
      <c r="B14" s="347">
        <f>'2024'!V39</f>
        <v>2671.8072053399997</v>
      </c>
      <c r="C14" s="366">
        <f>(B14-'PCCTAE 2023'!V45)*100/'PCCTAE 2023'!V45</f>
        <v>41.348274034264179</v>
      </c>
      <c r="D14" s="360">
        <v>11</v>
      </c>
      <c r="E14" s="363">
        <f>'2024'!V33</f>
        <v>3580.4771884665984</v>
      </c>
      <c r="F14" s="366">
        <f>(E14-'PCCTAE 2023'!V40)*100/'PCCTAE 2023'!V43</f>
        <v>63.304670404990276</v>
      </c>
      <c r="G14" s="372">
        <v>17</v>
      </c>
      <c r="H14" s="370">
        <f>'2024'!V27</f>
        <v>4798.1818716213456</v>
      </c>
      <c r="I14" s="377">
        <f>(H14-'PCCTAE 2023'!V35)*100/'PCCTAE 2023'!V35</f>
        <v>73.143671742369762</v>
      </c>
      <c r="J14" s="380">
        <v>23</v>
      </c>
      <c r="K14" s="373">
        <f>'2024'!V21</f>
        <v>6430.0226090856695</v>
      </c>
      <c r="L14" s="377">
        <f>(K14-'PCCTAE 2023'!V29)*100/'PCCTAE 2023'!V29</f>
        <v>84.437459784594367</v>
      </c>
      <c r="M14" s="372">
        <v>29</v>
      </c>
      <c r="N14" s="349">
        <f>'2024'!V15</f>
        <v>8616.8452675558965</v>
      </c>
      <c r="O14" s="377">
        <f>(N14-'PCCTAE 2023'!V15)*100/'PCCTAE 2023'!V15</f>
        <v>44.666262266701253</v>
      </c>
    </row>
    <row r="15" spans="1:15" x14ac:dyDescent="0.25">
      <c r="A15" s="357">
        <v>4</v>
      </c>
      <c r="B15" s="347">
        <f>'2024'!V40</f>
        <v>2544.5782907999996</v>
      </c>
      <c r="C15" s="366">
        <f>(B15-'PCCTAE 2023'!V46)*100/'PCCTAE 2023'!V46</f>
        <v>39.867482592000457</v>
      </c>
      <c r="D15" s="360">
        <v>10</v>
      </c>
      <c r="E15" s="363">
        <f>'2024'!V34</f>
        <v>3409.9782747300937</v>
      </c>
      <c r="F15" s="366">
        <f>(E15-'PCCTAE 2023'!V44)*100/'PCCTAE 2023'!V44</f>
        <v>73.628677614176041</v>
      </c>
      <c r="G15" s="372">
        <v>16</v>
      </c>
      <c r="H15" s="370">
        <f>'2024'!V28</f>
        <v>4569.6970205917578</v>
      </c>
      <c r="I15" s="377">
        <f>(H15-'PCCTAE 2023'!V36)*100/'PCCTAE 2023'!V36</f>
        <v>71.329785657449705</v>
      </c>
      <c r="J15" s="380">
        <v>22</v>
      </c>
      <c r="K15" s="373">
        <f>'2024'!V22</f>
        <v>6123.8310562720662</v>
      </c>
      <c r="L15" s="377">
        <f>(K15-'PCCTAE 2023'!V30)*100/'PCCTAE 2023'!V30</f>
        <v>82.505257824946227</v>
      </c>
      <c r="M15" s="372">
        <v>28</v>
      </c>
      <c r="N15" s="349">
        <f>'2024'!V16</f>
        <v>8206.5193024341861</v>
      </c>
      <c r="O15" s="377">
        <f>(N15-'PCCTAE 2023'!V16)*100/'PCCTAE 2023'!V16</f>
        <v>43.150710947716725</v>
      </c>
    </row>
    <row r="16" spans="1:15" x14ac:dyDescent="0.25">
      <c r="A16" s="357">
        <v>3</v>
      </c>
      <c r="B16" s="347">
        <f>'2024'!V41</f>
        <v>2423.4078959999997</v>
      </c>
      <c r="C16" s="366">
        <f>(B16-'PCCTAE 2023'!V47)*100/'PCCTAE 2023'!V47</f>
        <v>38.402204202941384</v>
      </c>
      <c r="D16" s="360">
        <v>9</v>
      </c>
      <c r="E16" s="363">
        <f>'2024'!V35</f>
        <v>3247.5983568858032</v>
      </c>
      <c r="F16" s="366">
        <f>(E16-'PCCTAE 2023'!V42)*100/'PCCTAE 2023'!V45</f>
        <v>59.647478615360875</v>
      </c>
      <c r="G16" s="372">
        <v>15</v>
      </c>
      <c r="H16" s="370">
        <f>'2024'!V29</f>
        <v>4352.0924005635788</v>
      </c>
      <c r="I16" s="377">
        <f>(H16-'PCCTAE 2023'!V37)*100/'PCCTAE 2023'!V37</f>
        <v>69.534902188657355</v>
      </c>
      <c r="J16" s="380">
        <v>21</v>
      </c>
      <c r="K16" s="373">
        <f>'2024'!V23</f>
        <v>5832.2200535924439</v>
      </c>
      <c r="L16" s="377">
        <f>(K16-'PCCTAE 2023'!V31)*100/'PCCTAE 2023'!V31</f>
        <v>80.593297981065845</v>
      </c>
      <c r="M16" s="372">
        <v>27</v>
      </c>
      <c r="N16" s="349">
        <f>'2024'!V17</f>
        <v>7815.7326689849397</v>
      </c>
      <c r="O16" s="377">
        <f>(N16-'PCCTAE 2023'!V17)*100/'PCCTAE 2023'!V17</f>
        <v>41.651036833026367</v>
      </c>
    </row>
    <row r="17" spans="1:15" x14ac:dyDescent="0.25">
      <c r="A17" s="357">
        <v>2</v>
      </c>
      <c r="B17" s="347">
        <f>'2024'!V42</f>
        <v>2308.0075199999997</v>
      </c>
      <c r="C17" s="366">
        <f>(B17-'PCCTAE 2023'!V48)*100/'PCCTAE 2023'!V48</f>
        <v>36.952276349386743</v>
      </c>
      <c r="D17" s="360">
        <v>8</v>
      </c>
      <c r="E17" s="363">
        <f>'2024'!V36</f>
        <v>3092.9508160817172</v>
      </c>
      <c r="F17" s="366">
        <f>(E17-'PCCTAE 2023'!V46)*100/'PCCTAE 2023'!V46</f>
        <v>70.009799262342753</v>
      </c>
      <c r="G17" s="372">
        <v>14</v>
      </c>
      <c r="H17" s="370">
        <f>'2024'!V30</f>
        <v>4144.8499052986463</v>
      </c>
      <c r="I17" s="377">
        <f>(H17-'PCCTAE 2023'!V38)*100/'PCCTAE 2023'!V38</f>
        <v>67.758822260966625</v>
      </c>
      <c r="J17" s="380">
        <v>20</v>
      </c>
      <c r="K17" s="373">
        <f>'2024'!V24</f>
        <v>5554.4952891356606</v>
      </c>
      <c r="L17" s="377">
        <f>(K17-'PCCTAE 2023'!V32)*100/'PCCTAE 2023'!V32</f>
        <v>78.701368192692755</v>
      </c>
      <c r="M17" s="372">
        <v>26</v>
      </c>
      <c r="N17" s="349">
        <f>'2024'!V18</f>
        <v>7443.554922842799</v>
      </c>
      <c r="O17" s="377">
        <f>(N17-'PCCTAE 2023'!V18)*100/'PCCTAE 2023'!V18</f>
        <v>40.167073590013679</v>
      </c>
    </row>
    <row r="18" spans="1:15" ht="15.75" thickBot="1" x14ac:dyDescent="0.3">
      <c r="A18" s="358">
        <v>1</v>
      </c>
      <c r="B18" s="351">
        <f>'2024'!V43</f>
        <v>2198.1023999999998</v>
      </c>
      <c r="C18" s="367">
        <f>(B18-'PCCTAE 2023'!V49)*100/'PCCTAE 2023'!V49</f>
        <v>35.517538216202688</v>
      </c>
      <c r="D18" s="361">
        <v>7</v>
      </c>
      <c r="E18" s="362">
        <f>'2024'!V37</f>
        <v>2945.6674438873497</v>
      </c>
      <c r="F18" s="367">
        <f>(E18-'PCCTAE 2023'!V44)*100/'PCCTAE 2023'!V47</f>
        <v>56.066512322451551</v>
      </c>
      <c r="G18" s="353">
        <v>13</v>
      </c>
      <c r="H18" s="371">
        <f>'2024'!V31</f>
        <v>3947.4761002844252</v>
      </c>
      <c r="I18" s="378">
        <f>(H18-'PCCTAE 2023'!V39)*100/'PCCTAE 2023'!V39</f>
        <v>66.001348884899372</v>
      </c>
      <c r="J18" s="381">
        <v>19</v>
      </c>
      <c r="K18" s="375">
        <f>'2024'!V25</f>
        <v>5289.9955134625334</v>
      </c>
      <c r="L18" s="378">
        <f>(K18-'PCCTAE 2023'!V33)*100/'PCCTAE 2023'!V33</f>
        <v>76.829258621150217</v>
      </c>
      <c r="M18" s="353">
        <v>25</v>
      </c>
      <c r="N18" s="352">
        <f>'2024'!V19</f>
        <v>7089.0999265169512</v>
      </c>
      <c r="O18" s="378">
        <f>(N18-'PCCTAE 2023'!V19)*100/'PCCTAE 2023'!V19</f>
        <v>38.698656628594456</v>
      </c>
    </row>
    <row r="19" spans="1:15" x14ac:dyDescent="0.25">
      <c r="B19" s="101"/>
    </row>
    <row r="20" spans="1:15" x14ac:dyDescent="0.25">
      <c r="B20" s="101"/>
    </row>
    <row r="21" spans="1:15" x14ac:dyDescent="0.25">
      <c r="B21" s="101"/>
    </row>
    <row r="22" spans="1:15" x14ac:dyDescent="0.25">
      <c r="B22" s="101"/>
    </row>
    <row r="23" spans="1:15" x14ac:dyDescent="0.25">
      <c r="B23" s="101"/>
    </row>
    <row r="24" spans="1:15" x14ac:dyDescent="0.25">
      <c r="B24" s="101"/>
    </row>
    <row r="25" spans="1:15" x14ac:dyDescent="0.25">
      <c r="B25" s="101"/>
    </row>
    <row r="26" spans="1:15" x14ac:dyDescent="0.25">
      <c r="B26" s="101"/>
    </row>
    <row r="27" spans="1:15" x14ac:dyDescent="0.25">
      <c r="B27" s="101"/>
    </row>
    <row r="28" spans="1:15" x14ac:dyDescent="0.25">
      <c r="A28" s="102"/>
      <c r="B28" s="101"/>
    </row>
    <row r="29" spans="1:15" x14ac:dyDescent="0.25">
      <c r="A29" s="102"/>
      <c r="B29" s="101"/>
    </row>
    <row r="30" spans="1:15" x14ac:dyDescent="0.25">
      <c r="A30" s="102"/>
      <c r="B30" s="101"/>
    </row>
    <row r="31" spans="1:15" x14ac:dyDescent="0.25">
      <c r="A31" s="102"/>
      <c r="B31" s="101"/>
    </row>
    <row r="32" spans="1:15" x14ac:dyDescent="0.25">
      <c r="A32" s="102"/>
      <c r="B32" s="101"/>
    </row>
    <row r="33" spans="1:2" x14ac:dyDescent="0.25">
      <c r="A33" s="102"/>
      <c r="B33" s="101"/>
    </row>
    <row r="34" spans="1:2" x14ac:dyDescent="0.25">
      <c r="A34" s="102"/>
      <c r="B34" s="101"/>
    </row>
    <row r="35" spans="1:2" x14ac:dyDescent="0.25">
      <c r="A35" s="102"/>
      <c r="B35" s="101"/>
    </row>
    <row r="36" spans="1:2" x14ac:dyDescent="0.25">
      <c r="A36" s="102"/>
      <c r="B36" s="101"/>
    </row>
    <row r="37" spans="1:2" x14ac:dyDescent="0.25">
      <c r="A37" s="102"/>
      <c r="B37" s="101"/>
    </row>
    <row r="38" spans="1:2" x14ac:dyDescent="0.25">
      <c r="A38" s="102"/>
      <c r="B38" s="101"/>
    </row>
    <row r="39" spans="1:2" x14ac:dyDescent="0.25">
      <c r="A39" s="102"/>
      <c r="B39" s="101"/>
    </row>
    <row r="40" spans="1:2" x14ac:dyDescent="0.25">
      <c r="A40" s="102"/>
      <c r="B40" s="101"/>
    </row>
    <row r="41" spans="1:2" x14ac:dyDescent="0.25">
      <c r="A41" s="102"/>
      <c r="B41" s="101"/>
    </row>
    <row r="42" spans="1:2" x14ac:dyDescent="0.25">
      <c r="A42" s="102"/>
      <c r="B42" s="101"/>
    </row>
    <row r="43" spans="1:2" x14ac:dyDescent="0.25">
      <c r="B43" s="101"/>
    </row>
    <row r="44" spans="1:2" x14ac:dyDescent="0.25">
      <c r="B44" s="101"/>
    </row>
    <row r="45" spans="1:2" x14ac:dyDescent="0.25">
      <c r="B45" s="101"/>
    </row>
    <row r="46" spans="1:2" x14ac:dyDescent="0.25">
      <c r="B46" s="101"/>
    </row>
    <row r="47" spans="1:2" x14ac:dyDescent="0.25">
      <c r="B47" s="101"/>
    </row>
    <row r="48" spans="1:2" x14ac:dyDescent="0.25">
      <c r="B48" s="101"/>
    </row>
    <row r="49" spans="2:2" x14ac:dyDescent="0.25">
      <c r="B49" s="101"/>
    </row>
    <row r="50" spans="2:2" x14ac:dyDescent="0.25">
      <c r="B50" s="101"/>
    </row>
    <row r="51" spans="2:2" x14ac:dyDescent="0.25">
      <c r="B51" s="101"/>
    </row>
  </sheetData>
  <mergeCells count="15">
    <mergeCell ref="A1:A2"/>
    <mergeCell ref="C1:C2"/>
    <mergeCell ref="D1:D2"/>
    <mergeCell ref="E1:E2"/>
    <mergeCell ref="K1:K2"/>
    <mergeCell ref="F1:F2"/>
    <mergeCell ref="H1:H2"/>
    <mergeCell ref="G1:G2"/>
    <mergeCell ref="I1:I2"/>
    <mergeCell ref="J1:J2"/>
    <mergeCell ref="L1:L2"/>
    <mergeCell ref="M1:M2"/>
    <mergeCell ref="N1:N2"/>
    <mergeCell ref="O1:O2"/>
    <mergeCell ref="B1:B2"/>
  </mergeCells>
  <pageMargins left="0.31496062992125984" right="0.31496062992125984" top="0.78740157480314965" bottom="0.78740157480314965" header="0.31496062992125984" footer="0.31496062992125984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topLeftCell="A46" workbookViewId="0">
      <selection activeCell="M63" sqref="M63"/>
    </sheetView>
  </sheetViews>
  <sheetFormatPr defaultRowHeight="15" x14ac:dyDescent="0.25"/>
  <cols>
    <col min="1" max="1" width="6.140625" customWidth="1"/>
  </cols>
  <sheetData>
    <row r="1" spans="1:12" x14ac:dyDescent="0.25">
      <c r="A1" s="534" t="s">
        <v>49</v>
      </c>
      <c r="B1" s="534"/>
      <c r="C1" s="534"/>
      <c r="D1" s="534"/>
      <c r="E1" s="534"/>
      <c r="F1" s="534"/>
      <c r="G1" s="534"/>
      <c r="H1" s="534"/>
      <c r="I1" s="534"/>
      <c r="J1" s="534"/>
      <c r="K1" s="408"/>
      <c r="L1" s="408"/>
    </row>
    <row r="2" spans="1:12" x14ac:dyDescent="0.25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2" x14ac:dyDescent="0.25">
      <c r="A3" s="534" t="s">
        <v>69</v>
      </c>
      <c r="B3" s="534"/>
      <c r="C3" s="534"/>
      <c r="D3" s="534"/>
      <c r="E3" s="534"/>
      <c r="F3" s="534"/>
      <c r="G3" s="534"/>
      <c r="H3" s="534"/>
      <c r="I3" s="534"/>
    </row>
    <row r="4" spans="1:12" x14ac:dyDescent="0.25">
      <c r="A4" s="409" t="s">
        <v>50</v>
      </c>
      <c r="B4" s="348" t="s">
        <v>51</v>
      </c>
      <c r="C4" s="410" t="s">
        <v>44</v>
      </c>
      <c r="D4" s="348" t="s">
        <v>52</v>
      </c>
      <c r="E4" s="348" t="s">
        <v>44</v>
      </c>
      <c r="F4" s="348" t="s">
        <v>70</v>
      </c>
      <c r="G4" s="348" t="s">
        <v>44</v>
      </c>
      <c r="H4" s="348" t="s">
        <v>53</v>
      </c>
      <c r="I4" s="348" t="s">
        <v>44</v>
      </c>
    </row>
    <row r="5" spans="1:12" x14ac:dyDescent="0.25">
      <c r="A5" s="409">
        <v>40</v>
      </c>
      <c r="B5" s="411">
        <f>'2024'!AB4</f>
        <v>14737.729603899152</v>
      </c>
      <c r="C5" s="436"/>
      <c r="D5" s="411">
        <f>'2024'!AG4</f>
        <v>19159.048485068899</v>
      </c>
      <c r="E5" s="436"/>
      <c r="F5" s="411">
        <f>'2024'!AL4</f>
        <v>22401.348997926711</v>
      </c>
      <c r="G5" s="436"/>
      <c r="H5" s="411">
        <f>'2024'!AQ4</f>
        <v>25791.026806823516</v>
      </c>
      <c r="I5" s="436"/>
    </row>
    <row r="6" spans="1:12" x14ac:dyDescent="0.25">
      <c r="A6" s="409">
        <v>39</v>
      </c>
      <c r="B6" s="411">
        <f>'2024'!AB5</f>
        <v>14035.93295609443</v>
      </c>
      <c r="C6" s="436"/>
      <c r="D6" s="411">
        <f>'2024'!AG5</f>
        <v>18246.71284292276</v>
      </c>
      <c r="E6" s="436"/>
      <c r="F6" s="411">
        <f>'2024'!AL5</f>
        <v>21334.618093263533</v>
      </c>
      <c r="G6" s="436"/>
      <c r="H6" s="411">
        <f>'2024'!AQ5</f>
        <v>24562.882673165252</v>
      </c>
      <c r="I6" s="436"/>
    </row>
    <row r="7" spans="1:12" x14ac:dyDescent="0.25">
      <c r="A7" s="409">
        <v>38</v>
      </c>
      <c r="B7" s="411">
        <f>'2024'!AB6</f>
        <v>13367.555196280409</v>
      </c>
      <c r="C7" s="436"/>
      <c r="D7" s="411">
        <f>'2024'!AG6</f>
        <v>17377.821755164532</v>
      </c>
      <c r="E7" s="436"/>
      <c r="F7" s="411">
        <f>'2024'!AL6</f>
        <v>20318.683898346222</v>
      </c>
      <c r="G7" s="436"/>
      <c r="H7" s="411">
        <f>'2024'!AQ6</f>
        <v>23393.221593490714</v>
      </c>
      <c r="I7" s="436"/>
    </row>
    <row r="8" spans="1:12" x14ac:dyDescent="0.25">
      <c r="A8" s="409">
        <v>37</v>
      </c>
      <c r="B8" s="411">
        <f>'2024'!AB7</f>
        <v>12731.004948838485</v>
      </c>
      <c r="C8" s="436"/>
      <c r="D8" s="411">
        <f>'2024'!AG7</f>
        <v>16550.30643349003</v>
      </c>
      <c r="E8" s="436"/>
      <c r="F8" s="411">
        <f>'2024'!AL7</f>
        <v>19351.127522234496</v>
      </c>
      <c r="G8" s="436"/>
      <c r="H8" s="411">
        <f>'2024'!AQ7</f>
        <v>22279.258660467349</v>
      </c>
      <c r="I8" s="436">
        <f>(H8-'DOCENTES 2023'!Q5)*100/'DOCENTES 2023'!Q5</f>
        <v>64.183422718268943</v>
      </c>
    </row>
    <row r="9" spans="1:12" x14ac:dyDescent="0.25">
      <c r="A9" s="409">
        <v>36</v>
      </c>
      <c r="B9" s="411">
        <f>'2024'!AB8</f>
        <v>12124.766617941414</v>
      </c>
      <c r="C9" s="436">
        <f>(B9-'DOCENTES 2023'!E6)*100/'DOCENTES 2023'!E6</f>
        <v>83.058765334035797</v>
      </c>
      <c r="D9" s="411">
        <f>'2024'!AG8</f>
        <v>15762.196603323839</v>
      </c>
      <c r="E9" s="436">
        <f>(D9-'DOCENTES 2023'!K6)*100/'DOCENTES 2023'!K6</f>
        <v>106.93602520796256</v>
      </c>
      <c r="F9" s="411">
        <f>'2024'!AL8</f>
        <v>18429.64525927095</v>
      </c>
      <c r="G9" s="436">
        <f>(F9-'DOCENTES 2023'!N6)*100/'DOCENTES 2023'!N6</f>
        <v>102.3632047735769</v>
      </c>
      <c r="H9" s="411">
        <f>'2024'!AQ8</f>
        <v>21218.341581397475</v>
      </c>
      <c r="I9" s="436">
        <f>(H9-'DOCENTES 2023'!Q6)*100/'DOCENTES 2023'!Q6</f>
        <v>72.001611862111801</v>
      </c>
    </row>
    <row r="10" spans="1:12" x14ac:dyDescent="0.25">
      <c r="A10" s="409">
        <v>35</v>
      </c>
      <c r="B10" s="411">
        <f>'2024'!AB9</f>
        <v>11547.396778991822</v>
      </c>
      <c r="C10" s="436">
        <f>(B10-'DOCENTES 2023'!E7)*100/'DOCENTES 2023'!E7</f>
        <v>81.31556335938923</v>
      </c>
      <c r="D10" s="411">
        <f>'2024'!AG9</f>
        <v>15011.61581268937</v>
      </c>
      <c r="E10" s="436">
        <f>(D10-'DOCENTES 2023'!K7)*100/'DOCENTES 2023'!K7</f>
        <v>104.96551096251341</v>
      </c>
      <c r="F10" s="411">
        <f>'2024'!AL9</f>
        <v>17552.043104067568</v>
      </c>
      <c r="G10" s="436">
        <f>(F10-'DOCENTES 2023'!N7)*100/'DOCENTES 2023'!N7</f>
        <v>100.43605130514892</v>
      </c>
      <c r="H10" s="411">
        <f>'2024'!AQ9</f>
        <v>20207.944363235689</v>
      </c>
      <c r="I10" s="436">
        <f>(H10-'DOCENTES 2023'!Q7)*100/'DOCENTES 2023'!Q7</f>
        <v>70.363651803453934</v>
      </c>
    </row>
    <row r="11" spans="1:12" x14ac:dyDescent="0.25">
      <c r="A11" s="409">
        <v>34</v>
      </c>
      <c r="B11" s="411">
        <f>'2024'!AB10</f>
        <v>10997.520741896973</v>
      </c>
      <c r="C11" s="436">
        <f>(B11-'DOCENTES 2023'!E8)*100/'DOCENTES 2023'!E8</f>
        <v>79.588625523712281</v>
      </c>
      <c r="D11" s="411">
        <f>'2024'!AG10</f>
        <v>14296.776964466066</v>
      </c>
      <c r="E11" s="436">
        <f>(D11-'DOCENTES 2023'!K8)*100/'DOCENTES 2023'!K8</f>
        <v>103.01338596417455</v>
      </c>
      <c r="F11" s="411">
        <f>'2024'!AL10</f>
        <v>16716.231527683398</v>
      </c>
      <c r="G11" s="436">
        <f>(F11-'DOCENTES 2023'!N8)*100/'DOCENTES 2023'!N8</f>
        <v>98.526998147966793</v>
      </c>
      <c r="H11" s="411">
        <f>'2024'!AQ10</f>
        <v>19245.661298319705</v>
      </c>
      <c r="I11" s="436">
        <f>(H11-'DOCENTES 2023'!Q8)*100/'DOCENTES 2023'!Q8</f>
        <v>68.74101058284721</v>
      </c>
    </row>
    <row r="12" spans="1:12" x14ac:dyDescent="0.25">
      <c r="A12" s="409">
        <v>33</v>
      </c>
      <c r="B12" s="411">
        <f>'2024'!AB11</f>
        <v>10473.829277997116</v>
      </c>
      <c r="C12" s="436">
        <f>(B12-'DOCENTES 2023'!E9)*100/'DOCENTES 2023'!E9</f>
        <v>77.878232332273583</v>
      </c>
      <c r="D12" s="411">
        <f>'2024'!AG11</f>
        <v>13615.978061396252</v>
      </c>
      <c r="E12" s="436">
        <f>(D12-'DOCENTES 2023'!K9)*100/'DOCENTES 2023'!K9</f>
        <v>101.07983800104715</v>
      </c>
      <c r="F12" s="411">
        <f>'2024'!AL11</f>
        <v>15920.220502555616</v>
      </c>
      <c r="G12" s="436">
        <f>(F12-'DOCENTES 2023'!N9)*100/'DOCENTES 2023'!N9</f>
        <v>96.636234286402455</v>
      </c>
      <c r="H12" s="411">
        <f>'2024'!AQ11</f>
        <v>18329.201236494955</v>
      </c>
      <c r="I12" s="436">
        <f>(H12-'DOCENTES 2023'!Q9)*100/'DOCENTES 2023'!Q9</f>
        <v>67.133946950111621</v>
      </c>
    </row>
    <row r="13" spans="1:12" x14ac:dyDescent="0.25">
      <c r="A13" s="409">
        <v>32</v>
      </c>
      <c r="B13" s="411">
        <f>'2024'!AB12</f>
        <v>9975.0755028543954</v>
      </c>
      <c r="C13" s="436">
        <f>(B13-'DOCENTES 2023'!E10)*100/'DOCENTES 2023'!E10</f>
        <v>111.76009439682774</v>
      </c>
      <c r="D13" s="411">
        <f>'2024'!AG12</f>
        <v>12967.598153710715</v>
      </c>
      <c r="E13" s="436">
        <f>(D13-'DOCENTES 2023'!K10)*100/'DOCENTES 2023'!K10</f>
        <v>139.38104852463499</v>
      </c>
      <c r="F13" s="411">
        <f>'2024'!AL12</f>
        <v>15162.114764338681</v>
      </c>
      <c r="G13" s="436">
        <f>(F13-'DOCENTES 2023'!N10)*100/'DOCENTES 2023'!N10</f>
        <v>134.09091268083944</v>
      </c>
      <c r="H13" s="411">
        <f>'2024'!AQ12</f>
        <v>17456.382129995192</v>
      </c>
      <c r="I13" s="436">
        <f>(H13-'DOCENTES 2023'!Q10)*100/'DOCENTES 2023'!Q10</f>
        <v>98.969182222137022</v>
      </c>
    </row>
    <row r="14" spans="1:12" x14ac:dyDescent="0.25">
      <c r="A14" s="409">
        <v>31</v>
      </c>
      <c r="B14" s="411">
        <f>'2024'!AB13</f>
        <v>9500.0719074803765</v>
      </c>
      <c r="C14" s="436">
        <f>(B14-'DOCENTES 2023'!E11)*100/'DOCENTES 2023'!E11</f>
        <v>109.74304039179653</v>
      </c>
      <c r="D14" s="411">
        <f>'2024'!AG13</f>
        <v>12350.09347972449</v>
      </c>
      <c r="E14" s="436">
        <f>(D14-'DOCENTES 2023'!K11)*100/'DOCENTES 2023'!K11</f>
        <v>137.10082826898739</v>
      </c>
      <c r="F14" s="411">
        <f>'2024'!AL13</f>
        <v>14440.109299370173</v>
      </c>
      <c r="G14" s="436">
        <f>(F14-'DOCENTES 2023'!N11)*100/'DOCENTES 2023'!N11</f>
        <v>131.86160027915307</v>
      </c>
      <c r="H14" s="411">
        <f>'2024'!AQ13</f>
        <v>16625.125838090658</v>
      </c>
      <c r="I14" s="436">
        <f>(H14-'DOCENTES 2023'!Q11)*100/'DOCENTES 2023'!Q11</f>
        <v>97.074061342647283</v>
      </c>
    </row>
    <row r="15" spans="1:12" x14ac:dyDescent="0.25">
      <c r="A15" s="409">
        <v>30</v>
      </c>
      <c r="B15" s="411">
        <f>'2024'!AB14</f>
        <v>9047.687530933692</v>
      </c>
      <c r="C15" s="436">
        <f>(B15-'DOCENTES 2023'!E12)*100/'DOCENTES 2023'!E12</f>
        <v>107.74532764516009</v>
      </c>
      <c r="D15" s="411">
        <f>'2024'!AG14</f>
        <v>11761.993790213801</v>
      </c>
      <c r="E15" s="436">
        <f>(D15-'DOCENTES 2023'!K12)*100/'DOCENTES 2023'!K12</f>
        <v>134.84239096702086</v>
      </c>
      <c r="F15" s="411">
        <f>'2024'!AL14</f>
        <v>13752.485047019212</v>
      </c>
      <c r="G15" s="436">
        <f>(F15-'DOCENTES 2023'!N12)*100/'DOCENTES 2023'!N12</f>
        <v>129.65312124554455</v>
      </c>
      <c r="H15" s="411">
        <f>'2024'!AQ14</f>
        <v>15833.453179133961</v>
      </c>
      <c r="I15" s="436">
        <f>(H15-'DOCENTES 2023'!Q12)*100/'DOCENTES 2023'!Q12</f>
        <v>95.197155431885108</v>
      </c>
    </row>
    <row r="16" spans="1:12" x14ac:dyDescent="0.25">
      <c r="A16" s="409">
        <v>29</v>
      </c>
      <c r="B16" s="411">
        <f>'2024'!AB15</f>
        <v>8616.8452675558965</v>
      </c>
      <c r="C16" s="436">
        <f>(B16-'DOCENTES 2023'!E13)*100/'DOCENTES 2023'!E13</f>
        <v>105.76700670983695</v>
      </c>
      <c r="D16" s="411">
        <f>'2024'!AG15</f>
        <v>11201.898847822666</v>
      </c>
      <c r="E16" s="436">
        <f>(D16-'DOCENTES 2023'!K13)*100/'DOCENTES 2023'!K13</f>
        <v>132.60644473563309</v>
      </c>
      <c r="F16" s="411">
        <f>'2024'!AL15</f>
        <v>13097.604806684963</v>
      </c>
      <c r="G16" s="436">
        <f>(F16-'DOCENTES 2023'!N13)*100/'DOCENTES 2023'!N13</f>
        <v>127.46618052049162</v>
      </c>
      <c r="H16" s="411">
        <f>'2024'!AQ15</f>
        <v>15079.479218222819</v>
      </c>
      <c r="I16" s="436">
        <f>(H16-'DOCENTES 2023'!Q13)*100/'DOCENTES 2023'!Q13</f>
        <v>93.338093335711164</v>
      </c>
    </row>
    <row r="17" spans="1:9" x14ac:dyDescent="0.25">
      <c r="A17" s="409">
        <v>28</v>
      </c>
      <c r="B17" s="411">
        <f>'2024'!AB16</f>
        <v>8206.5193024341861</v>
      </c>
      <c r="C17" s="436">
        <f>(B17-'DOCENTES 2023'!E14)*100/'DOCENTES 2023'!E14</f>
        <v>106.74692762882415</v>
      </c>
      <c r="D17" s="411">
        <f>'2024'!AG16</f>
        <v>10668.475093164443</v>
      </c>
      <c r="E17" s="436">
        <f>(D17-'DOCENTES 2023'!K14)*100/'DOCENTES 2023'!K14</f>
        <v>133.71400190052728</v>
      </c>
      <c r="F17" s="411">
        <f>'2024'!AL16</f>
        <v>12473.909339699963</v>
      </c>
      <c r="G17" s="436">
        <f>(F17-'DOCENTES 2023'!N14)*100/'DOCENTES 2023'!N14</f>
        <v>128.54950207122363</v>
      </c>
      <c r="H17" s="411">
        <f>'2024'!AQ16</f>
        <v>14361.408779259826</v>
      </c>
      <c r="I17" s="436">
        <f>(H17-'DOCENTES 2023'!Q14)*100/'DOCENTES 2023'!Q14</f>
        <v>94.258818793100502</v>
      </c>
    </row>
    <row r="18" spans="1:9" x14ac:dyDescent="0.25">
      <c r="A18" s="409">
        <v>27</v>
      </c>
      <c r="B18" s="411">
        <f>'2024'!AB17</f>
        <v>7815.7326689849397</v>
      </c>
      <c r="C18" s="436">
        <f>(B18-'DOCENTES 2023'!E15)*100/'DOCENTES 2023'!E15</f>
        <v>106.74692762882417</v>
      </c>
      <c r="D18" s="411">
        <f>'2024'!AG17</f>
        <v>10160.452469680422</v>
      </c>
      <c r="E18" s="436">
        <f>(D18-'DOCENTES 2023'!K15)*100/'DOCENTES 2023'!K15</f>
        <v>133.71391818910558</v>
      </c>
      <c r="F18" s="411">
        <f>'2024'!AL17</f>
        <v>11879.913656857108</v>
      </c>
      <c r="G18" s="436">
        <f>(F18-'DOCENTES 2023'!N15)*100/'DOCENTES 2023'!N15</f>
        <v>128.5490912752272</v>
      </c>
      <c r="H18" s="411">
        <f>'2024'!AQ17</f>
        <v>13677.532170723644</v>
      </c>
      <c r="I18" s="436">
        <f>(H18-'DOCENTES 2023'!Q15)*100/'DOCENTES 2023'!Q15</f>
        <v>94.258933357897178</v>
      </c>
    </row>
    <row r="19" spans="1:9" x14ac:dyDescent="0.25">
      <c r="A19" s="409">
        <v>26</v>
      </c>
      <c r="B19" s="411">
        <f>'2024'!AB18</f>
        <v>7443.554922842799</v>
      </c>
      <c r="C19" s="436">
        <f>(B19-'DOCENTES 2023'!E16)*100/'DOCENTES 2023'!E16</f>
        <v>107.73164943915934</v>
      </c>
      <c r="D19" s="411">
        <f>'2024'!AG18</f>
        <v>9676.6213996956394</v>
      </c>
      <c r="E19" s="436">
        <f>(D19-'DOCENTES 2023'!K16)*100/'DOCENTES 2023'!K16</f>
        <v>134.82698880167632</v>
      </c>
      <c r="F19" s="411">
        <f>'2024'!AL18</f>
        <v>11314.203482721055</v>
      </c>
      <c r="G19" s="436">
        <f>(F19-'DOCENTES 2023'!N16)*100/'DOCENTES 2023'!N16</f>
        <v>129.63795961109631</v>
      </c>
      <c r="H19" s="411">
        <f>'2024'!AQ18</f>
        <v>13026.221114974898</v>
      </c>
      <c r="I19" s="436">
        <f>(H19-'DOCENTES 2023'!Q16)*100/'DOCENTES 2023'!Q16</f>
        <v>95.18390488898757</v>
      </c>
    </row>
    <row r="20" spans="1:9" x14ac:dyDescent="0.25">
      <c r="A20" s="409">
        <v>25</v>
      </c>
      <c r="B20" s="411">
        <f>'2024'!AB19</f>
        <v>7089.0999265169512</v>
      </c>
      <c r="C20" s="436">
        <f>(B20-'DOCENTES 2023'!E17)*100/'DOCENTES 2023'!E17</f>
        <v>107.7314914631575</v>
      </c>
      <c r="D20" s="411">
        <f>'2024'!AG19</f>
        <v>9215.829904472037</v>
      </c>
      <c r="E20" s="436">
        <f>(D20-'DOCENTES 2023'!K17)*100/'DOCENTES 2023'!K17</f>
        <v>134.82674034063643</v>
      </c>
      <c r="F20" s="411">
        <f>'2024'!AL19</f>
        <v>10775.431888305766</v>
      </c>
      <c r="G20" s="436">
        <f>(F20-'DOCENTES 2023'!N17)*100/'DOCENTES 2023'!N17</f>
        <v>129.63765479314097</v>
      </c>
      <c r="H20" s="411">
        <f>'2024'!AQ19</f>
        <v>12405.924871404664</v>
      </c>
      <c r="I20" s="436">
        <f>(H20-'DOCENTES 2023'!Q17)*100/'DOCENTES 2023'!Q17</f>
        <v>95.183888949805706</v>
      </c>
    </row>
    <row r="23" spans="1:9" x14ac:dyDescent="0.25">
      <c r="A23" s="534" t="s">
        <v>17</v>
      </c>
      <c r="B23" s="534"/>
      <c r="C23" s="534"/>
      <c r="D23" s="534"/>
      <c r="E23" s="534"/>
      <c r="F23" s="534"/>
      <c r="G23" s="534"/>
      <c r="H23" s="534"/>
      <c r="I23" s="534"/>
    </row>
    <row r="24" spans="1:9" x14ac:dyDescent="0.25">
      <c r="A24" s="409" t="s">
        <v>50</v>
      </c>
      <c r="B24" s="348" t="s">
        <v>51</v>
      </c>
      <c r="C24" s="410" t="s">
        <v>44</v>
      </c>
      <c r="D24" s="348" t="s">
        <v>52</v>
      </c>
      <c r="E24" s="348" t="s">
        <v>44</v>
      </c>
      <c r="F24" s="348" t="s">
        <v>70</v>
      </c>
      <c r="G24" s="348" t="s">
        <v>44</v>
      </c>
      <c r="H24" s="348" t="s">
        <v>53</v>
      </c>
      <c r="I24" s="348" t="s">
        <v>44</v>
      </c>
    </row>
    <row r="25" spans="1:9" x14ac:dyDescent="0.25">
      <c r="A25" s="400">
        <v>40</v>
      </c>
      <c r="B25" s="411">
        <f>B5/2</f>
        <v>7368.8648019495758</v>
      </c>
      <c r="C25" s="437"/>
      <c r="D25" s="411">
        <f>D5/2</f>
        <v>9579.5242425344495</v>
      </c>
      <c r="E25" s="437"/>
      <c r="F25" s="411">
        <f>F5/2</f>
        <v>11200.674498963355</v>
      </c>
      <c r="G25" s="437"/>
      <c r="H25" s="411">
        <f>H5/2</f>
        <v>12895.513403411758</v>
      </c>
      <c r="I25" s="437"/>
    </row>
    <row r="26" spans="1:9" x14ac:dyDescent="0.25">
      <c r="A26" s="400">
        <v>39</v>
      </c>
      <c r="B26" s="411">
        <f>B6/2</f>
        <v>7017.9664780472149</v>
      </c>
      <c r="C26" s="437"/>
      <c r="D26" s="411">
        <f>D6/2</f>
        <v>9123.3564214613798</v>
      </c>
      <c r="E26" s="437"/>
      <c r="F26" s="411">
        <f>F6/2</f>
        <v>10667.309046631766</v>
      </c>
      <c r="G26" s="437"/>
      <c r="H26" s="411">
        <f>H6/2</f>
        <v>12281.441336582626</v>
      </c>
      <c r="I26" s="437"/>
    </row>
    <row r="27" spans="1:9" x14ac:dyDescent="0.25">
      <c r="A27" s="400">
        <v>38</v>
      </c>
      <c r="B27" s="411">
        <f t="shared" ref="B27:B40" si="0">B7/2</f>
        <v>6683.7775981402046</v>
      </c>
      <c r="C27" s="437"/>
      <c r="D27" s="411">
        <f t="shared" ref="D27:D40" si="1">D7/2</f>
        <v>8688.910877582266</v>
      </c>
      <c r="E27" s="437"/>
      <c r="F27" s="411">
        <f t="shared" ref="F27:F40" si="2">F7/2</f>
        <v>10159.341949173111</v>
      </c>
      <c r="G27" s="437"/>
      <c r="H27" s="411">
        <f t="shared" ref="H27:H40" si="3">H7/2</f>
        <v>11696.610796745357</v>
      </c>
      <c r="I27" s="437"/>
    </row>
    <row r="28" spans="1:9" x14ac:dyDescent="0.25">
      <c r="A28" s="400">
        <v>37</v>
      </c>
      <c r="B28" s="411">
        <f t="shared" si="0"/>
        <v>6365.5024744192424</v>
      </c>
      <c r="C28" s="437"/>
      <c r="D28" s="411">
        <f t="shared" si="1"/>
        <v>8275.153216745015</v>
      </c>
      <c r="E28" s="437"/>
      <c r="F28" s="411">
        <f t="shared" si="2"/>
        <v>9675.5637611172479</v>
      </c>
      <c r="G28" s="437"/>
      <c r="H28" s="411">
        <f t="shared" si="3"/>
        <v>11139.629330233674</v>
      </c>
      <c r="I28" s="437">
        <f>(H28-'DOCENTES 2023'!Q21)*100/'DOCENTES 2023'!Q21</f>
        <v>35.907414278379456</v>
      </c>
    </row>
    <row r="29" spans="1:9" x14ac:dyDescent="0.25">
      <c r="A29" s="400">
        <v>36</v>
      </c>
      <c r="B29" s="411">
        <f t="shared" si="0"/>
        <v>6062.3833089707068</v>
      </c>
      <c r="C29" s="437">
        <f>(B29-'DOCENTES 2023'!E22)*100/'DOCENTES 2023'!E22</f>
        <v>28.141304436809893</v>
      </c>
      <c r="D29" s="411">
        <f t="shared" si="1"/>
        <v>7881.0983016619193</v>
      </c>
      <c r="E29" s="437">
        <f>(D29-'DOCENTES 2023'!K22)*100/'DOCENTES 2023'!K22</f>
        <v>51.439659987364578</v>
      </c>
      <c r="F29" s="411">
        <f t="shared" si="2"/>
        <v>9214.8226296354751</v>
      </c>
      <c r="G29" s="437">
        <f>(F29-'DOCENTES 2023'!N22)*100/'DOCENTES 2023'!N22</f>
        <v>55.819682595123439</v>
      </c>
      <c r="H29" s="411">
        <f t="shared" si="3"/>
        <v>10609.170790698738</v>
      </c>
      <c r="I29" s="437">
        <f>(H29-'DOCENTES 2023'!Q22)*100/'DOCENTES 2023'!Q22</f>
        <v>42.379195910683251</v>
      </c>
    </row>
    <row r="30" spans="1:9" x14ac:dyDescent="0.25">
      <c r="A30" s="400">
        <v>35</v>
      </c>
      <c r="B30" s="411">
        <f t="shared" si="0"/>
        <v>5773.6983894959112</v>
      </c>
      <c r="C30" s="437">
        <f>(B30-'DOCENTES 2023'!E23)*100/'DOCENTES 2023'!H23</f>
        <v>25.639041455772055</v>
      </c>
      <c r="D30" s="411">
        <f t="shared" si="1"/>
        <v>7505.8079063446849</v>
      </c>
      <c r="E30" s="437">
        <f>(D30-'DOCENTES 2023'!K23)*100/'DOCENTES 2023'!K23</f>
        <v>49.99765398034306</v>
      </c>
      <c r="F30" s="411">
        <f t="shared" si="2"/>
        <v>8776.0215520337842</v>
      </c>
      <c r="G30" s="437">
        <f>(F30-'DOCENTES 2023'!N23)*100/'DOCENTES 2023'!N23</f>
        <v>54.335913190021664</v>
      </c>
      <c r="H30" s="411">
        <f t="shared" si="3"/>
        <v>10103.972181617844</v>
      </c>
      <c r="I30" s="437">
        <f>(H30-'DOCENTES 2023'!Q23)*100/'DOCENTES 2023'!Q23</f>
        <v>41.023269582114594</v>
      </c>
    </row>
    <row r="31" spans="1:9" x14ac:dyDescent="0.25">
      <c r="A31" s="400">
        <v>34</v>
      </c>
      <c r="B31" s="411">
        <f t="shared" si="0"/>
        <v>5498.7603709484865</v>
      </c>
      <c r="C31" s="437">
        <f>(B31-'DOCENTES 2023'!E24)*100/'DOCENTES 2023'!E24</f>
        <v>25.711993114104668</v>
      </c>
      <c r="D31" s="411">
        <f t="shared" si="1"/>
        <v>7148.3884822330328</v>
      </c>
      <c r="E31" s="437">
        <f>(D31-'DOCENTES 2023'!K24)*100/'DOCENTES 2023'!K24</f>
        <v>48.568820105386514</v>
      </c>
      <c r="F31" s="411">
        <f t="shared" si="2"/>
        <v>8358.1157638416989</v>
      </c>
      <c r="G31" s="437">
        <f>(F31-'DOCENTES 2023'!N24)*100/'DOCENTES 2023'!N24</f>
        <v>52.865859813407809</v>
      </c>
      <c r="H31" s="411">
        <f t="shared" si="3"/>
        <v>9622.8306491598523</v>
      </c>
      <c r="I31" s="437">
        <f>(H31-'DOCENTES 2023'!Q24)*100/'DOCENTES 2023'!Q24</f>
        <v>39.680097324032531</v>
      </c>
    </row>
    <row r="32" spans="1:9" x14ac:dyDescent="0.25">
      <c r="A32" s="400">
        <v>33</v>
      </c>
      <c r="B32" s="411">
        <f t="shared" si="0"/>
        <v>5236.9146389985581</v>
      </c>
      <c r="C32" s="437">
        <f>(B32-'DOCENTES 2023'!E25)*100/'DOCENTES 2023'!H25</f>
        <v>23.439724726506295</v>
      </c>
      <c r="D32" s="411">
        <f t="shared" si="1"/>
        <v>6807.989030698126</v>
      </c>
      <c r="E32" s="437">
        <f>(D32-'DOCENTES 2023'!K25)*100/'DOCENTES 2023'!K25</f>
        <v>47.153958968752669</v>
      </c>
      <c r="F32" s="411">
        <f t="shared" si="2"/>
        <v>7960.1102512778079</v>
      </c>
      <c r="G32" s="437">
        <f>(F32-'DOCENTES 2023'!N25)*100/'DOCENTES 2023'!N25</f>
        <v>51.410018629409613</v>
      </c>
      <c r="H32" s="411">
        <f t="shared" si="3"/>
        <v>9164.6006182474775</v>
      </c>
      <c r="I32" s="437">
        <f>(H32-'DOCENTES 2023'!Q25)*100/'DOCENTES 2023'!Q25</f>
        <v>38.34979317121671</v>
      </c>
    </row>
    <row r="33" spans="1:9" x14ac:dyDescent="0.25">
      <c r="A33" s="400">
        <v>32</v>
      </c>
      <c r="B33" s="411">
        <f t="shared" si="0"/>
        <v>4987.5377514271977</v>
      </c>
      <c r="C33" s="437">
        <f>(B33-'DOCENTES 2023'!E26)*100/'DOCENTES 2023'!E26</f>
        <v>48.231791676726708</v>
      </c>
      <c r="D33" s="411">
        <f t="shared" si="1"/>
        <v>6483.7990768553573</v>
      </c>
      <c r="E33" s="437">
        <f>(D33-'DOCENTES 2023'!K26)*100/'DOCENTES 2023'!K26</f>
        <v>75.182871751663527</v>
      </c>
      <c r="F33" s="411">
        <f t="shared" si="2"/>
        <v>7581.0573821693406</v>
      </c>
      <c r="G33" s="437">
        <f>(F33-'DOCENTES 2023'!N26)*100/'DOCENTES 2023'!N26</f>
        <v>80.249741894103494</v>
      </c>
      <c r="H33" s="411">
        <f t="shared" si="3"/>
        <v>8728.1910649975962</v>
      </c>
      <c r="I33" s="437">
        <f>(H33-'DOCENTES 2023'!Q26)*100/'DOCENTES 2023'!Q26</f>
        <v>64.701999221071617</v>
      </c>
    </row>
    <row r="34" spans="1:9" x14ac:dyDescent="0.25">
      <c r="A34" s="400">
        <v>31</v>
      </c>
      <c r="B34" s="411">
        <f t="shared" si="0"/>
        <v>4750.0359537401882</v>
      </c>
      <c r="C34" s="437">
        <f>(B34-'DOCENTES 2023'!E27)*100/'DOCENTES 2023'!H27</f>
        <v>44.766709316653632</v>
      </c>
      <c r="D34" s="411">
        <f t="shared" si="1"/>
        <v>6175.046739862245</v>
      </c>
      <c r="E34" s="437">
        <f>(D34-'DOCENTES 2023'!K27)*100/'DOCENTES 2023'!K27</f>
        <v>73.515076656195745</v>
      </c>
      <c r="F34" s="411">
        <f t="shared" si="2"/>
        <v>7220.0546496850866</v>
      </c>
      <c r="G34" s="437">
        <f>(F34-'DOCENTES 2023'!N27)*100/'DOCENTES 2023'!N27</f>
        <v>78.533207238865529</v>
      </c>
      <c r="H34" s="411">
        <f t="shared" si="3"/>
        <v>8312.5629190453292</v>
      </c>
      <c r="I34" s="437">
        <f>(H34-'DOCENTES 2023'!Q27)*100/'DOCENTES 2023'!Q27</f>
        <v>63.133650341309874</v>
      </c>
    </row>
    <row r="35" spans="1:9" x14ac:dyDescent="0.25">
      <c r="A35" s="400">
        <v>30</v>
      </c>
      <c r="B35" s="411">
        <f t="shared" si="0"/>
        <v>4523.843765466846</v>
      </c>
      <c r="C35" s="437">
        <f>(B35-'DOCENTES 2023'!E28)*100/'DOCENTES 2023'!E28</f>
        <v>45.422020517391289</v>
      </c>
      <c r="D35" s="411">
        <f t="shared" si="1"/>
        <v>5880.9968951069004</v>
      </c>
      <c r="E35" s="437">
        <f>(D35-'DOCENTES 2023'!K28)*100/'DOCENTES 2023'!K28</f>
        <v>71.862278396081948</v>
      </c>
      <c r="F35" s="411">
        <f t="shared" si="2"/>
        <v>6876.2425235096061</v>
      </c>
      <c r="G35" s="437">
        <f>(F35-'DOCENTES 2023'!N28)*100/'DOCENTES 2023'!N28</f>
        <v>76.832929108687651</v>
      </c>
      <c r="H35" s="411">
        <f t="shared" si="3"/>
        <v>7916.7265895669807</v>
      </c>
      <c r="I35" s="437">
        <f>(H35-'DOCENTES 2023'!Q28)*100/'DOCENTES 2023'!Q28</f>
        <v>61.579968877422736</v>
      </c>
    </row>
    <row r="36" spans="1:9" x14ac:dyDescent="0.25">
      <c r="A36" s="400">
        <v>29</v>
      </c>
      <c r="B36" s="411">
        <f t="shared" si="0"/>
        <v>4308.4226337779482</v>
      </c>
      <c r="C36" s="437">
        <f>(B36-'DOCENTES 2023'!E29)*100/'DOCENTES 2023'!H29</f>
        <v>42.105683318644182</v>
      </c>
      <c r="D36" s="411">
        <f t="shared" si="1"/>
        <v>5600.9494239113328</v>
      </c>
      <c r="E36" s="437">
        <f>(D36-'DOCENTES 2023'!K29)*100/'DOCENTES 2023'!K29</f>
        <v>70.225755061415171</v>
      </c>
      <c r="F36" s="411">
        <f t="shared" si="2"/>
        <v>6548.8024033424817</v>
      </c>
      <c r="G36" s="437">
        <f>(F36-'DOCENTES 2023'!N29)*100/'DOCENTES 2023'!N29</f>
        <v>75.149277296670576</v>
      </c>
      <c r="H36" s="411">
        <f t="shared" si="3"/>
        <v>7539.7396091114097</v>
      </c>
      <c r="I36" s="437">
        <f>(H36-'DOCENTES 2023'!Q29)*100/'DOCENTES 2023'!Q29</f>
        <v>60.041282930801991</v>
      </c>
    </row>
    <row r="37" spans="1:9" x14ac:dyDescent="0.25">
      <c r="A37" s="400">
        <v>28</v>
      </c>
      <c r="B37" s="411">
        <f t="shared" si="0"/>
        <v>4103.2596512170931</v>
      </c>
      <c r="C37" s="437">
        <f>(B37-'DOCENTES 2023'!E30)*100/'DOCENTES 2023'!E30</f>
        <v>44.722849340176907</v>
      </c>
      <c r="D37" s="411">
        <f t="shared" si="1"/>
        <v>5334.2375465822215</v>
      </c>
      <c r="E37" s="437">
        <f>(D37-'DOCENTES 2023'!K30)*100/'DOCENTES 2023'!K30</f>
        <v>71.035795793323089</v>
      </c>
      <c r="F37" s="411">
        <f t="shared" si="2"/>
        <v>6236.9546698499817</v>
      </c>
      <c r="G37" s="437">
        <f>(F37-'DOCENTES 2023'!N30)*100/'DOCENTES 2023'!N30</f>
        <v>75.98284948608179</v>
      </c>
      <c r="H37" s="411">
        <f t="shared" si="3"/>
        <v>7180.7043896299128</v>
      </c>
      <c r="I37" s="437">
        <f>(H37-'DOCENTES 2023'!Q30)*100/'DOCENTES 2023'!Q30</f>
        <v>60.803214997059207</v>
      </c>
    </row>
    <row r="38" spans="1:9" x14ac:dyDescent="0.25">
      <c r="A38" s="400">
        <v>27</v>
      </c>
      <c r="B38" s="411">
        <f t="shared" si="0"/>
        <v>3907.8663344924698</v>
      </c>
      <c r="C38" s="437">
        <f>(B38-'DOCENTES 2023'!E31)*100/'DOCENTES 2023'!H31</f>
        <v>42.761149607391495</v>
      </c>
      <c r="D38" s="411">
        <f t="shared" si="1"/>
        <v>5080.226234840211</v>
      </c>
      <c r="E38" s="437">
        <f>(D38-'DOCENTES 2023'!K31)*100/'DOCENTES 2023'!K31</f>
        <v>71.035736017162137</v>
      </c>
      <c r="F38" s="411">
        <f t="shared" si="2"/>
        <v>5939.9568284285542</v>
      </c>
      <c r="G38" s="437">
        <f>(F38-'DOCENTES 2023'!N31)*100/'DOCENTES 2023'!N31</f>
        <v>75.982822423792101</v>
      </c>
      <c r="H38" s="411">
        <f t="shared" si="3"/>
        <v>6838.7660853618218</v>
      </c>
      <c r="I38" s="437">
        <f>(H38-'DOCENTES 2023'!Q31)*100/'DOCENTES 2023'!Q31</f>
        <v>60.802959867033827</v>
      </c>
    </row>
    <row r="39" spans="1:9" x14ac:dyDescent="0.25">
      <c r="A39" s="400">
        <v>26</v>
      </c>
      <c r="B39" s="411">
        <f t="shared" si="0"/>
        <v>3721.7774614213995</v>
      </c>
      <c r="C39" s="437">
        <f>(B39-'DOCENTES 2023'!E32)*100/'DOCENTES 2023'!E32</f>
        <v>45.411889208011033</v>
      </c>
      <c r="D39" s="411">
        <f t="shared" si="1"/>
        <v>4838.3106998478197</v>
      </c>
      <c r="E39" s="437">
        <f>(D39-'DOCENTES 2023'!K32)*100/'DOCENTES 2023'!K32</f>
        <v>71.850680649013256</v>
      </c>
      <c r="F39" s="411">
        <f t="shared" si="2"/>
        <v>5657.1017413605277</v>
      </c>
      <c r="G39" s="437">
        <f>(F39-'DOCENTES 2023'!N32)*100/'DOCENTES 2023'!N32</f>
        <v>76.821158487531065</v>
      </c>
      <c r="H39" s="411">
        <f t="shared" si="3"/>
        <v>6513.1105574874491</v>
      </c>
      <c r="I39" s="437">
        <f>(H39-'DOCENTES 2023'!Q32)*100/'DOCENTES 2023'!Q32</f>
        <v>61.568787630214054</v>
      </c>
    </row>
    <row r="40" spans="1:9" x14ac:dyDescent="0.25">
      <c r="A40" s="400">
        <v>25</v>
      </c>
      <c r="B40" s="411">
        <f t="shared" si="0"/>
        <v>3544.5499632584756</v>
      </c>
      <c r="C40" s="437">
        <f>(B40-'DOCENTES 2023'!E33)*100/'DOCENTES 2023'!H33</f>
        <v>45.192993642321973</v>
      </c>
      <c r="D40" s="411">
        <f t="shared" si="1"/>
        <v>4607.9149522360185</v>
      </c>
      <c r="E40" s="437">
        <f>(D40-'DOCENTES 2023'!K33)*100/'DOCENTES 2023'!K33</f>
        <v>71.850846980966011</v>
      </c>
      <c r="F40" s="411">
        <f t="shared" si="2"/>
        <v>5387.7159441528829</v>
      </c>
      <c r="G40" s="437">
        <f>(F40-'DOCENTES 2023'!N33)*100/'DOCENTES 2023'!N33</f>
        <v>76.821158487531008</v>
      </c>
      <c r="H40" s="411">
        <f t="shared" si="3"/>
        <v>6202.9624357023322</v>
      </c>
      <c r="I40" s="437">
        <f>(H40-'DOCENTES 2023'!Q33)*100/'DOCENTES 2023'!Q33</f>
        <v>61.568765786678895</v>
      </c>
    </row>
    <row r="53" spans="1:9" x14ac:dyDescent="0.25">
      <c r="A53" s="534" t="s">
        <v>38</v>
      </c>
      <c r="B53" s="534"/>
      <c r="C53" s="534"/>
      <c r="D53" s="534"/>
      <c r="E53" s="534"/>
      <c r="F53" s="534"/>
      <c r="G53" s="534"/>
      <c r="H53" s="534"/>
      <c r="I53" s="534"/>
    </row>
    <row r="54" spans="1:9" x14ac:dyDescent="0.25">
      <c r="A54" s="409" t="s">
        <v>50</v>
      </c>
      <c r="B54" s="348" t="s">
        <v>51</v>
      </c>
      <c r="C54" s="410" t="s">
        <v>44</v>
      </c>
      <c r="D54" s="348" t="s">
        <v>52</v>
      </c>
      <c r="E54" s="348" t="s">
        <v>44</v>
      </c>
      <c r="F54" s="348" t="s">
        <v>70</v>
      </c>
      <c r="G54" s="348" t="s">
        <v>44</v>
      </c>
      <c r="H54" s="348" t="s">
        <v>53</v>
      </c>
      <c r="I54" s="348" t="s">
        <v>44</v>
      </c>
    </row>
    <row r="55" spans="1:9" x14ac:dyDescent="0.25">
      <c r="A55" s="400">
        <v>40</v>
      </c>
      <c r="B55" s="411">
        <f>B5*1.55</f>
        <v>22843.480886043686</v>
      </c>
      <c r="C55" s="438"/>
      <c r="D55" s="411">
        <f>D5*1.55</f>
        <v>29696.525151856793</v>
      </c>
      <c r="E55" s="438"/>
      <c r="F55" s="411">
        <f>F5*1.55</f>
        <v>34722.090946786404</v>
      </c>
      <c r="G55" s="438"/>
      <c r="H55" s="411">
        <f>H5*1.55</f>
        <v>39976.09155057645</v>
      </c>
      <c r="I55" s="438"/>
    </row>
    <row r="56" spans="1:9" x14ac:dyDescent="0.25">
      <c r="A56" s="400">
        <v>39</v>
      </c>
      <c r="B56" s="411">
        <f>B6*1.55</f>
        <v>21755.696081946367</v>
      </c>
      <c r="C56" s="438"/>
      <c r="D56" s="411">
        <f>D6*1.55</f>
        <v>28282.404906530279</v>
      </c>
      <c r="E56" s="438"/>
      <c r="F56" s="411">
        <f>F6*1.55</f>
        <v>33068.658044558477</v>
      </c>
      <c r="G56" s="438"/>
      <c r="H56" s="411">
        <f>H6*1.55</f>
        <v>38072.468143406142</v>
      </c>
      <c r="I56" s="438"/>
    </row>
    <row r="57" spans="1:9" x14ac:dyDescent="0.25">
      <c r="A57" s="400">
        <v>38</v>
      </c>
      <c r="B57" s="411">
        <f t="shared" ref="B57:B70" si="4">B7*1.55</f>
        <v>20719.710554234636</v>
      </c>
      <c r="C57" s="438"/>
      <c r="D57" s="411">
        <f t="shared" ref="D57:D70" si="5">D7*1.55</f>
        <v>26935.623720505024</v>
      </c>
      <c r="E57" s="438"/>
      <c r="F57" s="411">
        <f t="shared" ref="F57:F70" si="6">F7*1.55</f>
        <v>31493.960042436644</v>
      </c>
      <c r="G57" s="438"/>
      <c r="H57" s="411">
        <f t="shared" ref="H57:H70" si="7">H7*1.55</f>
        <v>36259.493469910609</v>
      </c>
      <c r="I57" s="438"/>
    </row>
    <row r="58" spans="1:9" x14ac:dyDescent="0.25">
      <c r="A58" s="400">
        <v>37</v>
      </c>
      <c r="B58" s="411">
        <f t="shared" si="4"/>
        <v>19733.057670699651</v>
      </c>
      <c r="C58" s="438"/>
      <c r="D58" s="411">
        <f t="shared" si="5"/>
        <v>25652.974971909549</v>
      </c>
      <c r="E58" s="438"/>
      <c r="F58" s="411">
        <f t="shared" si="6"/>
        <v>29994.247659463468</v>
      </c>
      <c r="G58" s="438"/>
      <c r="H58" s="411">
        <f t="shared" si="7"/>
        <v>34532.850923724392</v>
      </c>
      <c r="I58" s="437">
        <f>(H58-'DOCENTES 2023'!Q38)*100/'DOCENTES 2023'!Q38</f>
        <v>54.979382885725997</v>
      </c>
    </row>
    <row r="59" spans="1:9" x14ac:dyDescent="0.25">
      <c r="A59" s="400">
        <v>36</v>
      </c>
      <c r="B59" s="411">
        <f t="shared" si="4"/>
        <v>18793.388257809191</v>
      </c>
      <c r="C59" s="438">
        <f>(B59-'DOCENTES 2023'!E39)*100/'DOCENTES 2023'!E39</f>
        <v>98.619021877055332</v>
      </c>
      <c r="D59" s="411">
        <f t="shared" si="5"/>
        <v>24431.404735151951</v>
      </c>
      <c r="E59" s="438">
        <f>(D59-'DOCENTES 2023'!K39)*100/'DOCENTES 2023'!K39</f>
        <v>145.90921122288006</v>
      </c>
      <c r="F59" s="411">
        <f t="shared" si="6"/>
        <v>28565.950151869973</v>
      </c>
      <c r="G59" s="438">
        <f>(F59-'DOCENTES 2023'!N39)*100/'DOCENTES 2023'!N39</f>
        <v>168.35622994095655</v>
      </c>
      <c r="H59" s="411">
        <f t="shared" si="7"/>
        <v>32888.429451166085</v>
      </c>
      <c r="I59" s="437">
        <f>(H59-'DOCENTES 2023'!Q39)*100/'DOCENTES 2023'!Q39</f>
        <v>61.666593741176278</v>
      </c>
    </row>
    <row r="60" spans="1:9" x14ac:dyDescent="0.25">
      <c r="A60" s="400">
        <v>35</v>
      </c>
      <c r="B60" s="411">
        <f t="shared" si="4"/>
        <v>17898.465007437324</v>
      </c>
      <c r="C60" s="438">
        <f>(B60-'DOCENTES 2023'!E40)*100/'DOCENTES 2023'!E40</f>
        <v>96.727285235175643</v>
      </c>
      <c r="D60" s="411">
        <f t="shared" si="5"/>
        <v>23268.004509668524</v>
      </c>
      <c r="E60" s="438">
        <f>(D60-'DOCENTES 2023'!K40)*100/'DOCENTES 2023'!K40</f>
        <v>143.56724011277956</v>
      </c>
      <c r="F60" s="411">
        <f t="shared" si="6"/>
        <v>27205.666811304731</v>
      </c>
      <c r="G60" s="438">
        <f>(F60-'DOCENTES 2023'!N40)*100/'DOCENTES 2023'!N40</f>
        <v>165.80045632247123</v>
      </c>
      <c r="H60" s="411">
        <f t="shared" si="7"/>
        <v>31322.313763015318</v>
      </c>
      <c r="I60" s="437">
        <f>(H60-'DOCENTES 2023'!Q40)*100/'DOCENTES 2023'!Q40</f>
        <v>60.126891304940365</v>
      </c>
    </row>
    <row r="61" spans="1:9" x14ac:dyDescent="0.25">
      <c r="A61" s="400">
        <v>34</v>
      </c>
      <c r="B61" s="411">
        <f t="shared" si="4"/>
        <v>17046.157149940307</v>
      </c>
      <c r="C61" s="438">
        <f>(B61-'DOCENTES 2023'!E41)*100/'DOCENTES 2023'!E41</f>
        <v>94.85358932686222</v>
      </c>
      <c r="D61" s="411">
        <f t="shared" si="5"/>
        <v>22160.004294922401</v>
      </c>
      <c r="E61" s="438">
        <f>(D61-'DOCENTES 2023'!K41)*100/'DOCENTES 2023'!K41</f>
        <v>141.24738695352019</v>
      </c>
      <c r="F61" s="411">
        <f t="shared" si="6"/>
        <v>25910.158867909267</v>
      </c>
      <c r="G61" s="438">
        <f>(F61-'DOCENTES 2023'!N41)*100/'DOCENTES 2023'!N41</f>
        <v>163.26892247402935</v>
      </c>
      <c r="H61" s="411">
        <f t="shared" si="7"/>
        <v>29830.775012395545</v>
      </c>
      <c r="I61" s="437">
        <f>(H61-'DOCENTES 2023'!Q41)*100/'DOCENTES 2023'!Q41</f>
        <v>58.601841476359766</v>
      </c>
    </row>
    <row r="62" spans="1:9" x14ac:dyDescent="0.25">
      <c r="A62" s="400">
        <v>33</v>
      </c>
      <c r="B62" s="411">
        <f t="shared" si="4"/>
        <v>16234.435380895531</v>
      </c>
      <c r="C62" s="438">
        <f>(B62-'DOCENTES 2023'!E42)*100/'DOCENTES 2023'!E42</f>
        <v>92.997917807507477</v>
      </c>
      <c r="D62" s="411">
        <f t="shared" si="5"/>
        <v>21104.765995164191</v>
      </c>
      <c r="E62" s="438">
        <f>(D62-'DOCENTES 2023'!K42)*100/'DOCENTES 2023'!K42</f>
        <v>138.97512194591468</v>
      </c>
      <c r="F62" s="411">
        <f t="shared" si="6"/>
        <v>24676.341778961207</v>
      </c>
      <c r="G62" s="438">
        <f>(F62-'DOCENTES 2023'!N42)*100/'DOCENTES 2023'!N42</f>
        <v>160.76151853841421</v>
      </c>
      <c r="H62" s="411">
        <f t="shared" si="7"/>
        <v>28410.261916567182</v>
      </c>
      <c r="I62" s="437">
        <f>(H62-'DOCENTES 2023'!Q42)*100/'DOCENTES 2023'!Q42</f>
        <v>57.091380521681032</v>
      </c>
    </row>
    <row r="63" spans="1:9" x14ac:dyDescent="0.25">
      <c r="A63" s="400">
        <v>32</v>
      </c>
      <c r="B63" s="411">
        <f t="shared" si="4"/>
        <v>15461.367029424313</v>
      </c>
      <c r="C63" s="438">
        <f>(B63-'DOCENTES 2023'!E43)*100/'DOCENTES 2023'!E43</f>
        <v>129.75964925526802</v>
      </c>
      <c r="D63" s="411">
        <f t="shared" si="5"/>
        <v>20099.777138251608</v>
      </c>
      <c r="E63" s="438">
        <f>(D63-'DOCENTES 2023'!K43)*100/'DOCENTES 2023'!K43</f>
        <v>184.46417406088216</v>
      </c>
      <c r="F63" s="411">
        <f t="shared" si="6"/>
        <v>23501.277884724957</v>
      </c>
      <c r="G63" s="438">
        <f>(F63-'DOCENTES 2023'!N43)*100/'DOCENTES 2023'!N43</f>
        <v>210.43064738541401</v>
      </c>
      <c r="H63" s="411">
        <f t="shared" si="7"/>
        <v>27057.392301492549</v>
      </c>
      <c r="I63" s="437">
        <f>(H63-'DOCENTES 2023'!Q43)*100/'DOCENTES 2023'!Q43</f>
        <v>87.013660953859301</v>
      </c>
    </row>
    <row r="64" spans="1:9" x14ac:dyDescent="0.25">
      <c r="A64" s="400">
        <v>31</v>
      </c>
      <c r="B64" s="411">
        <f t="shared" si="4"/>
        <v>14725.111456594585</v>
      </c>
      <c r="C64" s="438">
        <f>(B64-'DOCENTES 2023'!E44)*100/'DOCENTES 2023'!E44</f>
        <v>127.57141788600107</v>
      </c>
      <c r="D64" s="411">
        <f t="shared" si="5"/>
        <v>19142.64489357296</v>
      </c>
      <c r="E64" s="438">
        <f>(D64-'DOCENTES 2023'!K44)*100/'DOCENTES 2023'!K44</f>
        <v>181.75526962370247</v>
      </c>
      <c r="F64" s="411">
        <f t="shared" si="6"/>
        <v>22382.169414023771</v>
      </c>
      <c r="G64" s="438">
        <f>(F64-'DOCENTES 2023'!N44)*100/'DOCENTES 2023'!N44</f>
        <v>207.47404107377784</v>
      </c>
      <c r="H64" s="411">
        <f t="shared" si="7"/>
        <v>25768.945049040522</v>
      </c>
      <c r="I64" s="437">
        <f>(H64-'DOCENTES 2023'!Q44)*100/'DOCENTES 2023'!Q44</f>
        <v>85.243028596343521</v>
      </c>
    </row>
    <row r="65" spans="1:9" x14ac:dyDescent="0.25">
      <c r="A65" s="400">
        <v>30</v>
      </c>
      <c r="B65" s="411">
        <f t="shared" si="4"/>
        <v>14023.915672947223</v>
      </c>
      <c r="C65" s="438">
        <f>(B65-'DOCENTES 2023'!E45)*100/'DOCENTES 2023'!E45</f>
        <v>125.40413180195651</v>
      </c>
      <c r="D65" s="411">
        <f t="shared" si="5"/>
        <v>18231.09037483139</v>
      </c>
      <c r="E65" s="438">
        <f>(D65-'DOCENTES 2023'!K45)*100/'DOCENTES 2023'!K45</f>
        <v>179.07168910400583</v>
      </c>
      <c r="F65" s="411">
        <f t="shared" si="6"/>
        <v>21316.35182287978</v>
      </c>
      <c r="G65" s="438">
        <f>(F65-'DOCENTES 2023'!N45)*100/'DOCENTES 2023'!N45</f>
        <v>204.54578983652462</v>
      </c>
      <c r="H65" s="411">
        <f t="shared" si="7"/>
        <v>24541.852427657639</v>
      </c>
      <c r="I65" s="437">
        <f>(H65-'DOCENTES 2023'!Q45)*100/'DOCENTES 2023'!Q45</f>
        <v>83.468389673546</v>
      </c>
    </row>
    <row r="66" spans="1:9" x14ac:dyDescent="0.25">
      <c r="A66" s="400">
        <v>29</v>
      </c>
      <c r="B66" s="411">
        <f t="shared" si="4"/>
        <v>13356.110164711639</v>
      </c>
      <c r="C66" s="438">
        <f>(B66-'DOCENTES 2023'!E46)*100/'DOCENTES 2023'!E46</f>
        <v>123.25714416904468</v>
      </c>
      <c r="D66" s="411">
        <f t="shared" si="5"/>
        <v>17362.943214125131</v>
      </c>
      <c r="E66" s="438">
        <f>(D66-'DOCENTES 2023'!K46)*100/'DOCENTES 2023'!K46</f>
        <v>176.41367901354764</v>
      </c>
      <c r="F66" s="411">
        <f t="shared" si="6"/>
        <v>20301.287450361695</v>
      </c>
      <c r="G66" s="438">
        <f>(F66-'DOCENTES 2023'!N46)*100/'DOCENTES 2023'!N46</f>
        <v>201.64539132250806</v>
      </c>
      <c r="H66" s="411">
        <f t="shared" si="7"/>
        <v>23373.192788245371</v>
      </c>
      <c r="I66" s="437">
        <f>(H66-'DOCENTES 2023'!Q46)*100/'DOCENTES 2023'!Q46</f>
        <v>81.721000600035637</v>
      </c>
    </row>
    <row r="67" spans="1:9" x14ac:dyDescent="0.25">
      <c r="A67" s="400">
        <v>28</v>
      </c>
      <c r="B67" s="411">
        <f t="shared" si="4"/>
        <v>12720.10491877299</v>
      </c>
      <c r="C67" s="438">
        <f>(B67-'DOCENTES 2023'!E47)*100/'DOCENTES 2023'!E47</f>
        <v>124.32041647727422</v>
      </c>
      <c r="D67" s="411">
        <f t="shared" si="5"/>
        <v>16536.136394404886</v>
      </c>
      <c r="E67" s="438">
        <f>(D67-'DOCENTES 2023'!K47)*100/'DOCENTES 2023'!K47</f>
        <v>177.72978522919161</v>
      </c>
      <c r="F67" s="411">
        <f t="shared" si="6"/>
        <v>19334.559476534945</v>
      </c>
      <c r="G67" s="438">
        <f>(F67-'DOCENTES 2023'!N47)*100/'DOCENTES 2023'!N47</f>
        <v>203.08167768669597</v>
      </c>
      <c r="H67" s="411">
        <f t="shared" si="7"/>
        <v>22260.18360785273</v>
      </c>
      <c r="I67" s="437">
        <f>(H67-'DOCENTES 2023'!Q47)*100/'DOCENTES 2023'!Q47</f>
        <v>82.586303883300033</v>
      </c>
    </row>
    <row r="68" spans="1:9" x14ac:dyDescent="0.25">
      <c r="A68" s="400">
        <v>27</v>
      </c>
      <c r="B68" s="411">
        <f t="shared" si="4"/>
        <v>12114.385636926656</v>
      </c>
      <c r="C68" s="438">
        <f>(B68-'DOCENTES 2023'!E48)*100/'DOCENTES 2023'!E48</f>
        <v>124.32048115649719</v>
      </c>
      <c r="D68" s="411">
        <f t="shared" si="5"/>
        <v>15748.701328004654</v>
      </c>
      <c r="E68" s="438">
        <f>(D68-'DOCENTES 2023'!K48)*100/'DOCENTES 2023'!K48</f>
        <v>177.73003944805384</v>
      </c>
      <c r="F68" s="411">
        <f t="shared" si="6"/>
        <v>18413.866168128519</v>
      </c>
      <c r="G68" s="438">
        <f>(F68-'DOCENTES 2023'!N48)*100/'DOCENTES 2023'!N48</f>
        <v>203.08196250944866</v>
      </c>
      <c r="H68" s="411">
        <f t="shared" si="7"/>
        <v>21200.174864621647</v>
      </c>
      <c r="I68" s="437">
        <f>(H68-'DOCENTES 2023'!Q48)*100/'DOCENTES 2023'!Q48</f>
        <v>82.586361018312985</v>
      </c>
    </row>
    <row r="69" spans="1:9" x14ac:dyDescent="0.25">
      <c r="A69" s="400">
        <v>26</v>
      </c>
      <c r="B69" s="411">
        <f t="shared" si="4"/>
        <v>11537.510130406339</v>
      </c>
      <c r="C69" s="438">
        <f>(B69-'DOCENTES 2023'!E49)*100/'DOCENTES 2023'!E49</f>
        <v>125.3884282724171</v>
      </c>
      <c r="D69" s="411">
        <f t="shared" si="5"/>
        <v>14998.763169528242</v>
      </c>
      <c r="E69" s="438">
        <f>(D69-'DOCENTES 2023'!K49)*100/'DOCENTES 2023'!K49</f>
        <v>179.05256612743699</v>
      </c>
      <c r="F69" s="411">
        <f t="shared" si="6"/>
        <v>17537.015398217638</v>
      </c>
      <c r="G69" s="438">
        <f>(F69-'DOCENTES 2023'!N49)*100/'DOCENTES 2023'!N49</f>
        <v>204.52509794983155</v>
      </c>
      <c r="H69" s="411">
        <f t="shared" si="7"/>
        <v>20190.642728211093</v>
      </c>
      <c r="I69" s="437">
        <f>(H69-'DOCENTES 2023'!Q49)*100/'DOCENTES 2023'!Q49</f>
        <v>83.455733769691719</v>
      </c>
    </row>
    <row r="70" spans="1:9" x14ac:dyDescent="0.25">
      <c r="A70" s="400">
        <v>25</v>
      </c>
      <c r="B70" s="411">
        <f t="shared" si="4"/>
        <v>10988.104886101275</v>
      </c>
      <c r="C70" s="438">
        <f>(B70-'DOCENTES 2023'!E50)*100/'DOCENTES 2023'!E50</f>
        <v>125.38881221683644</v>
      </c>
      <c r="D70" s="411">
        <f t="shared" si="5"/>
        <v>14284.536351931658</v>
      </c>
      <c r="E70" s="438">
        <f>(D70-'DOCENTES 2023'!K50)*100/'DOCENTES 2023'!K50</f>
        <v>179.05293396579938</v>
      </c>
      <c r="F70" s="411">
        <f t="shared" si="6"/>
        <v>16701.919426873937</v>
      </c>
      <c r="G70" s="438">
        <f>(F70-'DOCENTES 2023'!N50)*100/'DOCENTES 2023'!N50</f>
        <v>204.52532850630342</v>
      </c>
      <c r="H70" s="411">
        <f t="shared" si="7"/>
        <v>19229.18355067723</v>
      </c>
      <c r="I70" s="437">
        <f>(H70-'DOCENTES 2023'!Q50)*100/'DOCENTES 2023'!Q50</f>
        <v>83.455933632548977</v>
      </c>
    </row>
  </sheetData>
  <mergeCells count="4">
    <mergeCell ref="A3:I3"/>
    <mergeCell ref="A23:I23"/>
    <mergeCell ref="A53:I53"/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PCCTAE 2017</vt:lpstr>
      <vt:lpstr>PCCTAE 2023</vt:lpstr>
      <vt:lpstr>DOCENTES 2023</vt:lpstr>
      <vt:lpstr>ENQUADRAMENTO</vt:lpstr>
      <vt:lpstr>PLANILHA REESTRUTURADA</vt:lpstr>
      <vt:lpstr>2024</vt:lpstr>
      <vt:lpstr>AUMENTO % TAE</vt:lpstr>
      <vt:lpstr>AUMENTO % DOCENTE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edmar.marques</dc:creator>
  <cp:lastModifiedBy>edmar marques</cp:lastModifiedBy>
  <cp:lastPrinted>2023-04-04T16:47:56Z</cp:lastPrinted>
  <dcterms:created xsi:type="dcterms:W3CDTF">2022-06-27T15:34:58Z</dcterms:created>
  <dcterms:modified xsi:type="dcterms:W3CDTF">2023-05-23T19:57:55Z</dcterms:modified>
</cp:coreProperties>
</file>