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C8ECD42-B8DB-4A63-A84A-B57F709BDFD1}" xr6:coauthVersionLast="47" xr6:coauthVersionMax="47" xr10:uidLastSave="{00000000-0000-0000-0000-000000000000}"/>
  <bookViews>
    <workbookView xWindow="-120" yWindow="-120" windowWidth="20730" windowHeight="11040" tabRatio="774" firstSheet="1" activeTab="7" xr2:uid="{00000000-000D-0000-FFFF-FFFF00000000}"/>
  </bookViews>
  <sheets>
    <sheet name="Folha - Bases Cálculo" sheetId="1" r:id="rId1"/>
    <sheet name="Efeito Step" sheetId="2" r:id="rId2"/>
    <sheet name="Matriz Atual" sheetId="3" r:id="rId3"/>
    <sheet name="Base Cálculo Sinasefe" sheetId="5" state="hidden" r:id="rId4"/>
    <sheet name="Base Cálculo Sinasefe AB CD E" sheetId="11" r:id="rId5"/>
    <sheet name="Efeito Step Sinasefe AB CD E" sheetId="10" r:id="rId6"/>
    <sheet name="Efeito Step Sinasefe" sheetId="6" state="hidden" r:id="rId7"/>
    <sheet name="Fasubra" sheetId="4" r:id="rId8"/>
    <sheet name="Sinasefe" sheetId="7" r:id="rId9"/>
    <sheet name="Sinasefe AB CD E" sheetId="8" r:id="rId10"/>
  </sheets>
  <calcPr calcId="181029"/>
</workbook>
</file>

<file path=xl/calcChain.xml><?xml version="1.0" encoding="utf-8"?>
<calcChain xmlns="http://schemas.openxmlformats.org/spreadsheetml/2006/main">
  <c r="B3" i="8" l="1"/>
  <c r="B3" i="7"/>
  <c r="G11" i="11"/>
  <c r="E11" i="11"/>
  <c r="C11" i="11"/>
  <c r="I11" i="11" s="1"/>
  <c r="I10" i="11"/>
  <c r="I9" i="11"/>
  <c r="I8" i="11"/>
  <c r="I7" i="11"/>
  <c r="I6" i="11"/>
  <c r="I5" i="11"/>
  <c r="G51" i="10"/>
  <c r="F51" i="10"/>
  <c r="E51" i="10"/>
  <c r="D51" i="10"/>
  <c r="C51" i="10"/>
  <c r="B51" i="10"/>
  <c r="R2" i="10"/>
  <c r="G51" i="6"/>
  <c r="F51" i="6"/>
  <c r="E51" i="6"/>
  <c r="D51" i="6"/>
  <c r="C51" i="6"/>
  <c r="B51" i="6"/>
  <c r="R2" i="6"/>
  <c r="I11" i="5"/>
  <c r="G11" i="5"/>
  <c r="E11" i="5"/>
  <c r="C11" i="5"/>
  <c r="I10" i="5"/>
  <c r="I9" i="5"/>
  <c r="I8" i="5"/>
  <c r="I7" i="5"/>
  <c r="I6" i="5"/>
  <c r="I5" i="5"/>
  <c r="F4" i="4"/>
  <c r="C4" i="3"/>
  <c r="R3" i="10" s="1"/>
  <c r="G51" i="2"/>
  <c r="F51" i="2"/>
  <c r="E51" i="2"/>
  <c r="D51" i="2"/>
  <c r="C51" i="2"/>
  <c r="B51" i="2"/>
  <c r="R3" i="2"/>
  <c r="R2" i="2"/>
  <c r="G11" i="1"/>
  <c r="E11" i="1"/>
  <c r="C11" i="1"/>
  <c r="I10" i="1"/>
  <c r="I9" i="1"/>
  <c r="I8" i="1"/>
  <c r="I7" i="1"/>
  <c r="I6" i="1"/>
  <c r="I5" i="1"/>
  <c r="AD23" i="8" l="1"/>
  <c r="AD21" i="8"/>
  <c r="I2" i="2"/>
  <c r="J29" i="4"/>
  <c r="AE6" i="7"/>
  <c r="AD24" i="7"/>
  <c r="AD20" i="7"/>
  <c r="AD22" i="7"/>
  <c r="I11" i="1"/>
  <c r="L2" i="10"/>
  <c r="AG3" i="7"/>
  <c r="B4" i="7"/>
  <c r="L3" i="10" s="1"/>
  <c r="AC6" i="7"/>
  <c r="L2" i="6"/>
  <c r="AD6" i="7"/>
  <c r="AG3" i="8"/>
  <c r="AC6" i="8"/>
  <c r="B4" i="8"/>
  <c r="AD6" i="8"/>
  <c r="M6" i="4"/>
  <c r="F5" i="4"/>
  <c r="D4" i="4"/>
  <c r="B4" i="4"/>
  <c r="R3" i="6"/>
  <c r="C5" i="3"/>
  <c r="R4" i="10" s="1"/>
  <c r="J27" i="4" l="1"/>
  <c r="J25" i="4"/>
  <c r="J23" i="4"/>
  <c r="J21" i="4"/>
  <c r="L3" i="6"/>
  <c r="B5" i="7"/>
  <c r="L4" i="10" s="1"/>
  <c r="B5" i="8"/>
  <c r="R4" i="6"/>
  <c r="C6" i="3"/>
  <c r="R5" i="10" s="1"/>
  <c r="R4" i="2"/>
  <c r="D5" i="4"/>
  <c r="B5" i="4"/>
  <c r="F6" i="4"/>
  <c r="I3" i="2"/>
  <c r="I6" i="4"/>
  <c r="J6" i="4"/>
  <c r="M3" i="4"/>
  <c r="L2" i="2"/>
  <c r="K6" i="4"/>
  <c r="L6" i="4"/>
  <c r="L4" i="6" l="1"/>
  <c r="B6" i="7"/>
  <c r="L5" i="10" s="1"/>
  <c r="B6" i="8"/>
  <c r="R5" i="6"/>
  <c r="C7" i="3"/>
  <c r="R6" i="10" s="1"/>
  <c r="R5" i="2"/>
  <c r="L3" i="2"/>
  <c r="F7" i="4"/>
  <c r="B6" i="4"/>
  <c r="I4" i="2"/>
  <c r="D6" i="4"/>
  <c r="B7" i="7" l="1"/>
  <c r="L6" i="10" s="1"/>
  <c r="L5" i="6"/>
  <c r="B7" i="8"/>
  <c r="L4" i="2"/>
  <c r="R6" i="6"/>
  <c r="C8" i="3"/>
  <c r="R6" i="2"/>
  <c r="D7" i="4"/>
  <c r="B7" i="4"/>
  <c r="F8" i="4"/>
  <c r="I5" i="2"/>
  <c r="B8" i="7" l="1"/>
  <c r="L7" i="10" s="1"/>
  <c r="L6" i="6"/>
  <c r="R7" i="10"/>
  <c r="S2" i="10"/>
  <c r="M2" i="10"/>
  <c r="B8" i="8"/>
  <c r="B8" i="4"/>
  <c r="F9" i="4"/>
  <c r="I6" i="2"/>
  <c r="D8" i="4"/>
  <c r="R7" i="6"/>
  <c r="S2" i="6"/>
  <c r="M2" i="6"/>
  <c r="C9" i="3"/>
  <c r="S2" i="2"/>
  <c r="R7" i="2"/>
  <c r="M2" i="2"/>
  <c r="L5" i="2"/>
  <c r="L7" i="6" l="1"/>
  <c r="B9" i="7"/>
  <c r="B10" i="7" s="1"/>
  <c r="L9" i="10" s="1"/>
  <c r="R8" i="10"/>
  <c r="S3" i="10"/>
  <c r="M3" i="10"/>
  <c r="B9" i="8"/>
  <c r="D9" i="4"/>
  <c r="F10" i="4"/>
  <c r="B9" i="4"/>
  <c r="I7" i="2"/>
  <c r="L6" i="2"/>
  <c r="S3" i="6"/>
  <c r="C10" i="3"/>
  <c r="R8" i="6"/>
  <c r="R8" i="2"/>
  <c r="S3" i="2"/>
  <c r="M3" i="6"/>
  <c r="M3" i="2"/>
  <c r="L8" i="10" l="1"/>
  <c r="L8" i="6"/>
  <c r="R9" i="10"/>
  <c r="S4" i="10"/>
  <c r="M4" i="10"/>
  <c r="B10" i="8"/>
  <c r="B11" i="7"/>
  <c r="AD26" i="7" s="1"/>
  <c r="L9" i="6"/>
  <c r="F11" i="4"/>
  <c r="D10" i="4"/>
  <c r="B10" i="4"/>
  <c r="I8" i="2"/>
  <c r="S4" i="6"/>
  <c r="C11" i="3"/>
  <c r="S4" i="2"/>
  <c r="R9" i="6"/>
  <c r="R9" i="2"/>
  <c r="M4" i="6"/>
  <c r="M4" i="2"/>
  <c r="L7" i="2"/>
  <c r="R10" i="10" l="1"/>
  <c r="S5" i="10"/>
  <c r="M5" i="10"/>
  <c r="B11" i="8"/>
  <c r="R10" i="6"/>
  <c r="S5" i="2"/>
  <c r="R10" i="2"/>
  <c r="S5" i="6"/>
  <c r="C12" i="3"/>
  <c r="M5" i="6"/>
  <c r="M5" i="2"/>
  <c r="F12" i="4"/>
  <c r="B11" i="4"/>
  <c r="D11" i="4"/>
  <c r="I9" i="2"/>
  <c r="B12" i="7"/>
  <c r="AF6" i="7"/>
  <c r="L10" i="6"/>
  <c r="L8" i="2"/>
  <c r="AD27" i="8" l="1"/>
  <c r="AD25" i="8"/>
  <c r="R11" i="10"/>
  <c r="S6" i="10"/>
  <c r="M6" i="10"/>
  <c r="AE6" i="8"/>
  <c r="L10" i="10"/>
  <c r="B12" i="8"/>
  <c r="AF6" i="8"/>
  <c r="B13" i="7"/>
  <c r="L11" i="6"/>
  <c r="L9" i="2"/>
  <c r="F13" i="4"/>
  <c r="D12" i="4"/>
  <c r="I10" i="2"/>
  <c r="B12" i="4"/>
  <c r="R11" i="6"/>
  <c r="S6" i="6"/>
  <c r="C13" i="3"/>
  <c r="R11" i="2"/>
  <c r="S6" i="2"/>
  <c r="M6" i="6"/>
  <c r="M6" i="2"/>
  <c r="R12" i="10" l="1"/>
  <c r="S7" i="10"/>
  <c r="T2" i="10"/>
  <c r="J2" i="10"/>
  <c r="M7" i="10"/>
  <c r="N2" i="10"/>
  <c r="B13" i="8"/>
  <c r="L11" i="10"/>
  <c r="L10" i="2"/>
  <c r="C14" i="3"/>
  <c r="T2" i="6"/>
  <c r="J2" i="6"/>
  <c r="R12" i="6"/>
  <c r="R12" i="2"/>
  <c r="T2" i="2"/>
  <c r="S7" i="2"/>
  <c r="N2" i="6"/>
  <c r="S7" i="6"/>
  <c r="N2" i="2"/>
  <c r="M7" i="6"/>
  <c r="M7" i="2"/>
  <c r="B14" i="7"/>
  <c r="L12" i="6"/>
  <c r="D13" i="4"/>
  <c r="F14" i="4"/>
  <c r="B13" i="4"/>
  <c r="I11" i="2"/>
  <c r="R13" i="10" l="1"/>
  <c r="S8" i="10"/>
  <c r="T3" i="10"/>
  <c r="J3" i="10"/>
  <c r="M8" i="10"/>
  <c r="N3" i="10"/>
  <c r="B14" i="8"/>
  <c r="N4" i="10"/>
  <c r="L12" i="10"/>
  <c r="S8" i="6"/>
  <c r="R13" i="6"/>
  <c r="C15" i="3"/>
  <c r="T3" i="6"/>
  <c r="S8" i="2"/>
  <c r="R13" i="2"/>
  <c r="T3" i="2"/>
  <c r="J3" i="6"/>
  <c r="N3" i="6"/>
  <c r="N3" i="2"/>
  <c r="M8" i="6"/>
  <c r="M8" i="2"/>
  <c r="L11" i="2"/>
  <c r="B15" i="7"/>
  <c r="L13" i="6"/>
  <c r="B14" i="4"/>
  <c r="D14" i="4"/>
  <c r="F15" i="4"/>
  <c r="I12" i="2"/>
  <c r="R14" i="10" l="1"/>
  <c r="S9" i="10"/>
  <c r="T4" i="10"/>
  <c r="J4" i="10"/>
  <c r="M9" i="10"/>
  <c r="B15" i="8"/>
  <c r="L13" i="10"/>
  <c r="L12" i="2"/>
  <c r="F16" i="4"/>
  <c r="D15" i="4"/>
  <c r="I13" i="2"/>
  <c r="B15" i="4"/>
  <c r="L14" i="6"/>
  <c r="B16" i="7"/>
  <c r="T4" i="6"/>
  <c r="C16" i="3"/>
  <c r="S9" i="6"/>
  <c r="S9" i="2"/>
  <c r="T4" i="2"/>
  <c r="R14" i="2"/>
  <c r="R14" i="6"/>
  <c r="J4" i="6"/>
  <c r="N4" i="6"/>
  <c r="N4" i="2"/>
  <c r="M9" i="6"/>
  <c r="M9" i="2"/>
  <c r="R15" i="10" l="1"/>
  <c r="S10" i="10"/>
  <c r="T5" i="10"/>
  <c r="J5" i="10"/>
  <c r="M10" i="10"/>
  <c r="N5" i="10"/>
  <c r="B16" i="8"/>
  <c r="N6" i="10"/>
  <c r="L14" i="10"/>
  <c r="B17" i="7"/>
  <c r="L15" i="6"/>
  <c r="R15" i="6"/>
  <c r="T5" i="6"/>
  <c r="R15" i="2"/>
  <c r="S10" i="6"/>
  <c r="C17" i="3"/>
  <c r="T5" i="2"/>
  <c r="S10" i="2"/>
  <c r="N5" i="6"/>
  <c r="J5" i="6"/>
  <c r="N5" i="2"/>
  <c r="M10" i="6"/>
  <c r="M10" i="2"/>
  <c r="B16" i="4"/>
  <c r="F17" i="4"/>
  <c r="I14" i="2"/>
  <c r="D16" i="4"/>
  <c r="L13" i="2"/>
  <c r="T6" i="10" l="1"/>
  <c r="S11" i="10"/>
  <c r="R16" i="10"/>
  <c r="J6" i="10"/>
  <c r="M11" i="10"/>
  <c r="B17" i="8"/>
  <c r="L15" i="10"/>
  <c r="L14" i="2"/>
  <c r="B18" i="7"/>
  <c r="L16" i="6"/>
  <c r="F18" i="4"/>
  <c r="D17" i="4"/>
  <c r="B17" i="4"/>
  <c r="I15" i="2"/>
  <c r="C18" i="3"/>
  <c r="S11" i="6"/>
  <c r="T6" i="2"/>
  <c r="R16" i="2"/>
  <c r="T6" i="6"/>
  <c r="S11" i="2"/>
  <c r="R16" i="6"/>
  <c r="N6" i="6"/>
  <c r="J6" i="6"/>
  <c r="N6" i="2"/>
  <c r="M11" i="6"/>
  <c r="M11" i="2"/>
  <c r="R17" i="10" l="1"/>
  <c r="S12" i="10"/>
  <c r="T7" i="10"/>
  <c r="J7" i="10"/>
  <c r="M12" i="10"/>
  <c r="N7" i="10"/>
  <c r="B18" i="8"/>
  <c r="L16" i="10"/>
  <c r="B19" i="7"/>
  <c r="AD28" i="7" s="1"/>
  <c r="L17" i="6"/>
  <c r="D18" i="4"/>
  <c r="B18" i="4"/>
  <c r="I16" i="2"/>
  <c r="F19" i="4"/>
  <c r="L15" i="2"/>
  <c r="S12" i="6"/>
  <c r="R17" i="6"/>
  <c r="T7" i="6"/>
  <c r="T7" i="2"/>
  <c r="C19" i="3"/>
  <c r="R17" i="2"/>
  <c r="S12" i="2"/>
  <c r="J7" i="6"/>
  <c r="N7" i="6"/>
  <c r="N7" i="2"/>
  <c r="M12" i="6"/>
  <c r="M12" i="2"/>
  <c r="U2" i="10" l="1"/>
  <c r="R18" i="10"/>
  <c r="S13" i="10"/>
  <c r="T8" i="10"/>
  <c r="J8" i="10"/>
  <c r="O2" i="10"/>
  <c r="M13" i="10"/>
  <c r="N8" i="10"/>
  <c r="B19" i="8"/>
  <c r="AD29" i="8" s="1"/>
  <c r="L17" i="10"/>
  <c r="N9" i="10"/>
  <c r="U2" i="6"/>
  <c r="S13" i="6"/>
  <c r="R18" i="2"/>
  <c r="C20" i="3"/>
  <c r="T8" i="6"/>
  <c r="S13" i="2"/>
  <c r="U2" i="2"/>
  <c r="R18" i="6"/>
  <c r="T8" i="2"/>
  <c r="O2" i="2"/>
  <c r="N8" i="6"/>
  <c r="J8" i="6"/>
  <c r="O2" i="6"/>
  <c r="N8" i="2"/>
  <c r="M13" i="6"/>
  <c r="M13" i="2"/>
  <c r="L18" i="6"/>
  <c r="B20" i="7"/>
  <c r="AG6" i="7"/>
  <c r="F20" i="4"/>
  <c r="I17" i="2"/>
  <c r="D19" i="4"/>
  <c r="B19" i="4"/>
  <c r="L16" i="2"/>
  <c r="R19" i="10" l="1"/>
  <c r="S14" i="10"/>
  <c r="T9" i="10"/>
  <c r="U3" i="10"/>
  <c r="J9" i="10"/>
  <c r="O3" i="10"/>
  <c r="M14" i="10"/>
  <c r="L18" i="10"/>
  <c r="AG6" i="8"/>
  <c r="B20" i="8"/>
  <c r="B21" i="7"/>
  <c r="L19" i="6"/>
  <c r="R19" i="6"/>
  <c r="T9" i="6"/>
  <c r="C21" i="3"/>
  <c r="U3" i="6"/>
  <c r="R19" i="2"/>
  <c r="U3" i="2"/>
  <c r="S14" i="2"/>
  <c r="S14" i="6"/>
  <c r="T9" i="2"/>
  <c r="O3" i="2"/>
  <c r="J9" i="6"/>
  <c r="N9" i="6"/>
  <c r="N9" i="2"/>
  <c r="O3" i="6"/>
  <c r="M14" i="6"/>
  <c r="M14" i="2"/>
  <c r="L17" i="2"/>
  <c r="B20" i="4"/>
  <c r="D20" i="4"/>
  <c r="F21" i="4"/>
  <c r="I18" i="2"/>
  <c r="U4" i="10" l="1"/>
  <c r="R20" i="10"/>
  <c r="R21" i="10" s="1"/>
  <c r="S15" i="10"/>
  <c r="T10" i="10"/>
  <c r="J10" i="10"/>
  <c r="O4" i="10"/>
  <c r="M15" i="10"/>
  <c r="N10" i="10"/>
  <c r="B21" i="8"/>
  <c r="N11" i="10"/>
  <c r="L19" i="10"/>
  <c r="L18" i="2"/>
  <c r="R20" i="6"/>
  <c r="R21" i="6" s="1"/>
  <c r="C22" i="3"/>
  <c r="S15" i="6"/>
  <c r="S15" i="2"/>
  <c r="U4" i="6"/>
  <c r="T10" i="2"/>
  <c r="T10" i="6"/>
  <c r="R20" i="2"/>
  <c r="R21" i="2" s="1"/>
  <c r="U4" i="2"/>
  <c r="O4" i="2"/>
  <c r="J10" i="6"/>
  <c r="N10" i="6"/>
  <c r="O4" i="6"/>
  <c r="N10" i="2"/>
  <c r="M15" i="6"/>
  <c r="M15" i="2"/>
  <c r="B22" i="7"/>
  <c r="L20" i="6"/>
  <c r="L21" i="6" s="1"/>
  <c r="F22" i="4"/>
  <c r="J30" i="4" s="1"/>
  <c r="D21" i="4"/>
  <c r="B21" i="4"/>
  <c r="I19" i="2"/>
  <c r="AD25" i="7" l="1"/>
  <c r="AD21" i="7"/>
  <c r="AD23" i="7"/>
  <c r="S16" i="10"/>
  <c r="T11" i="10"/>
  <c r="U5" i="10"/>
  <c r="J11" i="10"/>
  <c r="O5" i="10"/>
  <c r="M16" i="10"/>
  <c r="B22" i="8"/>
  <c r="L20" i="10"/>
  <c r="L21" i="10" s="1"/>
  <c r="L25" i="6"/>
  <c r="B23" i="7"/>
  <c r="L19" i="2"/>
  <c r="S16" i="6"/>
  <c r="T11" i="6"/>
  <c r="U5" i="6"/>
  <c r="S16" i="2"/>
  <c r="C23" i="3"/>
  <c r="T11" i="2"/>
  <c r="U5" i="2"/>
  <c r="O5" i="2"/>
  <c r="J11" i="6"/>
  <c r="N11" i="6"/>
  <c r="N11" i="2"/>
  <c r="O5" i="6"/>
  <c r="M16" i="6"/>
  <c r="M16" i="2"/>
  <c r="B22" i="4"/>
  <c r="I20" i="2"/>
  <c r="D22" i="4"/>
  <c r="AD24" i="8" l="1"/>
  <c r="AD22" i="8"/>
  <c r="J22" i="4"/>
  <c r="J24" i="4"/>
  <c r="J28" i="4"/>
  <c r="J26" i="4"/>
  <c r="U6" i="10"/>
  <c r="S17" i="10"/>
  <c r="T12" i="10"/>
  <c r="J12" i="10"/>
  <c r="O6" i="10"/>
  <c r="M17" i="10"/>
  <c r="N12" i="10"/>
  <c r="L25" i="10"/>
  <c r="B23" i="8"/>
  <c r="N13" i="10"/>
  <c r="B24" i="7"/>
  <c r="L20" i="2"/>
  <c r="L21" i="2" s="1"/>
  <c r="U6" i="6"/>
  <c r="S17" i="6"/>
  <c r="C24" i="3"/>
  <c r="S17" i="2"/>
  <c r="T12" i="2"/>
  <c r="T12" i="6"/>
  <c r="U6" i="2"/>
  <c r="O6" i="2"/>
  <c r="N12" i="6"/>
  <c r="J12" i="6"/>
  <c r="N12" i="2"/>
  <c r="O6" i="6"/>
  <c r="M17" i="6"/>
  <c r="M17" i="2"/>
  <c r="C16" i="5"/>
  <c r="G16" i="5"/>
  <c r="U7" i="10" l="1"/>
  <c r="S18" i="10"/>
  <c r="T13" i="10"/>
  <c r="J13" i="10"/>
  <c r="O7" i="10"/>
  <c r="M18" i="10"/>
  <c r="B24" i="8"/>
  <c r="C16" i="11"/>
  <c r="G16" i="11"/>
  <c r="L25" i="2"/>
  <c r="D16" i="5"/>
  <c r="T13" i="6"/>
  <c r="S18" i="6"/>
  <c r="U7" i="6"/>
  <c r="C25" i="3"/>
  <c r="S18" i="2"/>
  <c r="U7" i="2"/>
  <c r="T13" i="2"/>
  <c r="O7" i="2"/>
  <c r="J13" i="6"/>
  <c r="N13" i="6"/>
  <c r="N13" i="2"/>
  <c r="O7" i="6"/>
  <c r="M18" i="6"/>
  <c r="M18" i="2"/>
  <c r="H16" i="5"/>
  <c r="B25" i="7"/>
  <c r="T14" i="10" l="1"/>
  <c r="S19" i="10"/>
  <c r="U8" i="10"/>
  <c r="J14" i="10"/>
  <c r="O8" i="10"/>
  <c r="M19" i="10"/>
  <c r="N14" i="10"/>
  <c r="B25" i="8"/>
  <c r="D16" i="11"/>
  <c r="H16" i="11"/>
  <c r="B26" i="7"/>
  <c r="S19" i="6"/>
  <c r="T14" i="6"/>
  <c r="C26" i="3"/>
  <c r="S19" i="2"/>
  <c r="U8" i="6"/>
  <c r="T14" i="2"/>
  <c r="U8" i="2"/>
  <c r="O8" i="2"/>
  <c r="J14" i="6"/>
  <c r="N14" i="6"/>
  <c r="O8" i="6"/>
  <c r="N14" i="2"/>
  <c r="M19" i="6"/>
  <c r="M19" i="2"/>
  <c r="C16" i="1"/>
  <c r="G16" i="1"/>
  <c r="U9" i="10" l="1"/>
  <c r="S20" i="10"/>
  <c r="S21" i="10" s="1"/>
  <c r="T15" i="10"/>
  <c r="J15" i="10"/>
  <c r="O9" i="10"/>
  <c r="M20" i="10"/>
  <c r="M21" i="10" s="1"/>
  <c r="M25" i="10" s="1"/>
  <c r="N15" i="10"/>
  <c r="B26" i="8"/>
  <c r="H16" i="1"/>
  <c r="B27" i="7"/>
  <c r="S20" i="6"/>
  <c r="S21" i="6" s="1"/>
  <c r="T15" i="6"/>
  <c r="U9" i="6"/>
  <c r="C27" i="3"/>
  <c r="S20" i="2"/>
  <c r="S21" i="2" s="1"/>
  <c r="T15" i="2"/>
  <c r="U9" i="2"/>
  <c r="O9" i="2"/>
  <c r="N15" i="6"/>
  <c r="J15" i="6"/>
  <c r="O9" i="6"/>
  <c r="N15" i="2"/>
  <c r="M20" i="6"/>
  <c r="M21" i="6" s="1"/>
  <c r="M20" i="2"/>
  <c r="M21" i="2" s="1"/>
  <c r="D16" i="1"/>
  <c r="C17" i="11" l="1"/>
  <c r="D17" i="11" s="1"/>
  <c r="G17" i="11"/>
  <c r="H17" i="11" s="1"/>
  <c r="U10" i="10"/>
  <c r="T16" i="10"/>
  <c r="J16" i="10"/>
  <c r="O10" i="10"/>
  <c r="N16" i="10"/>
  <c r="B27" i="8"/>
  <c r="N17" i="10"/>
  <c r="M25" i="2"/>
  <c r="M25" i="6"/>
  <c r="U10" i="6"/>
  <c r="T16" i="6"/>
  <c r="T16" i="2"/>
  <c r="C28" i="3"/>
  <c r="U10" i="2"/>
  <c r="O10" i="2"/>
  <c r="N16" i="6"/>
  <c r="J16" i="6"/>
  <c r="N16" i="2"/>
  <c r="O10" i="6"/>
  <c r="B28" i="7"/>
  <c r="T17" i="10" l="1"/>
  <c r="U11" i="10"/>
  <c r="J17" i="10"/>
  <c r="O11" i="10"/>
  <c r="B28" i="8"/>
  <c r="N18" i="10"/>
  <c r="G17" i="5"/>
  <c r="C17" i="5"/>
  <c r="B29" i="7"/>
  <c r="T17" i="6"/>
  <c r="U11" i="6"/>
  <c r="T17" i="2"/>
  <c r="U11" i="2"/>
  <c r="C29" i="3"/>
  <c r="O11" i="2"/>
  <c r="J17" i="6"/>
  <c r="N17" i="6"/>
  <c r="N17" i="2"/>
  <c r="O11" i="6"/>
  <c r="C17" i="1"/>
  <c r="G17" i="1"/>
  <c r="U12" i="10" l="1"/>
  <c r="T18" i="10"/>
  <c r="J18" i="10"/>
  <c r="O12" i="10"/>
  <c r="B29" i="8"/>
  <c r="N19" i="10"/>
  <c r="B30" i="7"/>
  <c r="AD27" i="7" s="1"/>
  <c r="H17" i="1"/>
  <c r="D17" i="5"/>
  <c r="U12" i="6"/>
  <c r="C30" i="3"/>
  <c r="T18" i="6"/>
  <c r="U12" i="2"/>
  <c r="T18" i="2"/>
  <c r="O12" i="2"/>
  <c r="N18" i="6"/>
  <c r="J18" i="6"/>
  <c r="O12" i="6"/>
  <c r="N18" i="2"/>
  <c r="D17" i="1"/>
  <c r="H17" i="5"/>
  <c r="T19" i="10" l="1"/>
  <c r="U13" i="10"/>
  <c r="J19" i="10"/>
  <c r="O13" i="10"/>
  <c r="B30" i="8"/>
  <c r="U13" i="6"/>
  <c r="C31" i="3"/>
  <c r="T19" i="6"/>
  <c r="T19" i="2"/>
  <c r="U13" i="2"/>
  <c r="O13" i="2"/>
  <c r="J19" i="6"/>
  <c r="N19" i="6"/>
  <c r="N19" i="2"/>
  <c r="O13" i="6"/>
  <c r="B31" i="7"/>
  <c r="AD28" i="8" l="1"/>
  <c r="AD26" i="8"/>
  <c r="U14" i="10"/>
  <c r="T20" i="10"/>
  <c r="T21" i="10" s="1"/>
  <c r="J20" i="10"/>
  <c r="O14" i="10"/>
  <c r="N20" i="10"/>
  <c r="N21" i="10" s="1"/>
  <c r="N25" i="10" s="1"/>
  <c r="B31" i="8"/>
  <c r="B32" i="7"/>
  <c r="U14" i="6"/>
  <c r="C32" i="3"/>
  <c r="T20" i="2"/>
  <c r="T21" i="2" s="1"/>
  <c r="T20" i="6"/>
  <c r="T21" i="6" s="1"/>
  <c r="U14" i="2"/>
  <c r="O14" i="2"/>
  <c r="N20" i="6"/>
  <c r="N21" i="6" s="1"/>
  <c r="J20" i="6"/>
  <c r="N20" i="2"/>
  <c r="N21" i="2" s="1"/>
  <c r="O14" i="6"/>
  <c r="U15" i="10" l="1"/>
  <c r="J21" i="10"/>
  <c r="O15" i="10"/>
  <c r="B32" i="8"/>
  <c r="G18" i="11"/>
  <c r="C18" i="11"/>
  <c r="N25" i="6"/>
  <c r="B33" i="7"/>
  <c r="N25" i="2"/>
  <c r="U15" i="6"/>
  <c r="U15" i="2"/>
  <c r="C33" i="3"/>
  <c r="O15" i="2"/>
  <c r="J21" i="6"/>
  <c r="O15" i="6"/>
  <c r="V2" i="10" l="1"/>
  <c r="U16" i="10"/>
  <c r="P2" i="10"/>
  <c r="J22" i="10"/>
  <c r="O16" i="10"/>
  <c r="H18" i="11"/>
  <c r="D18" i="11"/>
  <c r="B33" i="8"/>
  <c r="B34" i="7"/>
  <c r="C34" i="3"/>
  <c r="U16" i="6"/>
  <c r="V2" i="6"/>
  <c r="U16" i="2"/>
  <c r="V2" i="2"/>
  <c r="P2" i="2"/>
  <c r="P2" i="6"/>
  <c r="O16" i="2"/>
  <c r="J22" i="6"/>
  <c r="O16" i="6"/>
  <c r="C18" i="1"/>
  <c r="G18" i="1"/>
  <c r="G18" i="5"/>
  <c r="C18" i="5"/>
  <c r="U17" i="10" l="1"/>
  <c r="V3" i="10"/>
  <c r="P3" i="10"/>
  <c r="J23" i="10"/>
  <c r="O17" i="10"/>
  <c r="B34" i="8"/>
  <c r="H18" i="5"/>
  <c r="V3" i="6"/>
  <c r="U17" i="2"/>
  <c r="U17" i="6"/>
  <c r="C35" i="3"/>
  <c r="V3" i="2"/>
  <c r="P3" i="2"/>
  <c r="P3" i="6"/>
  <c r="O17" i="2"/>
  <c r="J23" i="6"/>
  <c r="O17" i="6"/>
  <c r="D18" i="1"/>
  <c r="H18" i="1"/>
  <c r="D18" i="5"/>
  <c r="B35" i="7"/>
  <c r="U18" i="10" l="1"/>
  <c r="V4" i="10"/>
  <c r="P4" i="10"/>
  <c r="J24" i="10"/>
  <c r="O18" i="10"/>
  <c r="B35" i="8"/>
  <c r="B36" i="7"/>
  <c r="U18" i="6"/>
  <c r="C36" i="3"/>
  <c r="U18" i="2"/>
  <c r="V4" i="2"/>
  <c r="V4" i="6"/>
  <c r="P4" i="2"/>
  <c r="O18" i="2"/>
  <c r="P4" i="6"/>
  <c r="J24" i="6"/>
  <c r="O18" i="6"/>
  <c r="V5" i="10" l="1"/>
  <c r="U19" i="10"/>
  <c r="P5" i="10"/>
  <c r="J25" i="10"/>
  <c r="O19" i="10"/>
  <c r="B36" i="8"/>
  <c r="V5" i="6"/>
  <c r="C37" i="3"/>
  <c r="U19" i="6"/>
  <c r="U19" i="2"/>
  <c r="V5" i="2"/>
  <c r="P5" i="2"/>
  <c r="O19" i="2"/>
  <c r="P5" i="6"/>
  <c r="J25" i="6"/>
  <c r="O19" i="6"/>
  <c r="B37" i="7"/>
  <c r="U20" i="10" l="1"/>
  <c r="U21" i="10" s="1"/>
  <c r="V6" i="10"/>
  <c r="P6" i="10"/>
  <c r="J26" i="10"/>
  <c r="O20" i="10"/>
  <c r="O21" i="10" s="1"/>
  <c r="O25" i="10" s="1"/>
  <c r="B37" i="8"/>
  <c r="C38" i="3"/>
  <c r="U20" i="6"/>
  <c r="U21" i="6" s="1"/>
  <c r="U20" i="2"/>
  <c r="U21" i="2" s="1"/>
  <c r="V6" i="2"/>
  <c r="V6" i="6"/>
  <c r="P6" i="2"/>
  <c r="O20" i="2"/>
  <c r="O21" i="2" s="1"/>
  <c r="P6" i="6"/>
  <c r="J26" i="6"/>
  <c r="O20" i="6"/>
  <c r="O21" i="6" s="1"/>
  <c r="B38" i="7"/>
  <c r="AD29" i="7" s="1"/>
  <c r="G19" i="11" l="1"/>
  <c r="H19" i="11" s="1"/>
  <c r="C19" i="11"/>
  <c r="D19" i="11" s="1"/>
  <c r="V7" i="10"/>
  <c r="P7" i="10"/>
  <c r="J27" i="10"/>
  <c r="B38" i="8"/>
  <c r="AD30" i="8" s="1"/>
  <c r="O25" i="2"/>
  <c r="O25" i="6"/>
  <c r="V7" i="6"/>
  <c r="C39" i="3"/>
  <c r="V7" i="2"/>
  <c r="P7" i="2"/>
  <c r="P7" i="6"/>
  <c r="J27" i="6"/>
  <c r="V8" i="10" l="1"/>
  <c r="P8" i="10"/>
  <c r="J28" i="10"/>
  <c r="V8" i="6"/>
  <c r="V8" i="2"/>
  <c r="C40" i="3"/>
  <c r="P8" i="2"/>
  <c r="P8" i="6"/>
  <c r="J28" i="6"/>
  <c r="C19" i="5"/>
  <c r="G19" i="5"/>
  <c r="C19" i="1"/>
  <c r="G19" i="1"/>
  <c r="V9" i="10" l="1"/>
  <c r="P9" i="10"/>
  <c r="J29" i="10"/>
  <c r="H19" i="5"/>
  <c r="D19" i="5"/>
  <c r="H19" i="1"/>
  <c r="V9" i="6"/>
  <c r="C41" i="3"/>
  <c r="V9" i="2"/>
  <c r="P9" i="2"/>
  <c r="P9" i="6"/>
  <c r="J29" i="6"/>
  <c r="D19" i="1"/>
  <c r="V10" i="10" l="1"/>
  <c r="P10" i="10"/>
  <c r="J30" i="10"/>
  <c r="V10" i="6"/>
  <c r="C42" i="3"/>
  <c r="V10" i="2"/>
  <c r="P10" i="2"/>
  <c r="P10" i="6"/>
  <c r="J30" i="6"/>
  <c r="V11" i="10" l="1"/>
  <c r="P11" i="10"/>
  <c r="J31" i="10"/>
  <c r="V11" i="6"/>
  <c r="C43" i="3"/>
  <c r="V11" i="2"/>
  <c r="P11" i="2"/>
  <c r="P11" i="6"/>
  <c r="J31" i="6"/>
  <c r="V12" i="10" l="1"/>
  <c r="P12" i="10"/>
  <c r="J32" i="10"/>
  <c r="V12" i="6"/>
  <c r="V12" i="2"/>
  <c r="C44" i="3"/>
  <c r="P12" i="2"/>
  <c r="P12" i="6"/>
  <c r="J32" i="6"/>
  <c r="V13" i="10" l="1"/>
  <c r="P13" i="10"/>
  <c r="J33" i="10"/>
  <c r="V13" i="6"/>
  <c r="C45" i="3"/>
  <c r="V13" i="2"/>
  <c r="P13" i="2"/>
  <c r="P13" i="6"/>
  <c r="J33" i="6"/>
  <c r="V14" i="10" l="1"/>
  <c r="P14" i="10"/>
  <c r="J34" i="10"/>
  <c r="C46" i="3"/>
  <c r="V14" i="2"/>
  <c r="V14" i="6"/>
  <c r="P14" i="2"/>
  <c r="P14" i="6"/>
  <c r="J34" i="6"/>
  <c r="V15" i="10" l="1"/>
  <c r="P15" i="10"/>
  <c r="J35" i="10"/>
  <c r="V15" i="6"/>
  <c r="C47" i="3"/>
  <c r="V15" i="2"/>
  <c r="P15" i="2"/>
  <c r="P15" i="6"/>
  <c r="J35" i="6"/>
  <c r="V16" i="10" l="1"/>
  <c r="P16" i="10"/>
  <c r="J36" i="10"/>
  <c r="V16" i="6"/>
  <c r="C48" i="3"/>
  <c r="V16" i="2"/>
  <c r="P16" i="2"/>
  <c r="P16" i="6"/>
  <c r="J36" i="6"/>
  <c r="V17" i="10" l="1"/>
  <c r="P17" i="10"/>
  <c r="J37" i="10"/>
  <c r="V17" i="2"/>
  <c r="V17" i="6"/>
  <c r="C49" i="3"/>
  <c r="P17" i="2"/>
  <c r="P17" i="6"/>
  <c r="J37" i="6"/>
  <c r="V18" i="10" l="1"/>
  <c r="P18" i="10"/>
  <c r="C50" i="3"/>
  <c r="V18" i="6"/>
  <c r="V18" i="2"/>
  <c r="P18" i="2"/>
  <c r="P18" i="6"/>
  <c r="V19" i="10" l="1"/>
  <c r="P19" i="10"/>
  <c r="V19" i="6"/>
  <c r="V19" i="2"/>
  <c r="C51" i="3"/>
  <c r="P19" i="2"/>
  <c r="P19" i="6"/>
  <c r="V20" i="10" l="1"/>
  <c r="V21" i="10" s="1"/>
  <c r="P20" i="10"/>
  <c r="P21" i="10" s="1"/>
  <c r="V20" i="6"/>
  <c r="V21" i="6" s="1"/>
  <c r="V20" i="2"/>
  <c r="V21" i="2" s="1"/>
  <c r="P20" i="2"/>
  <c r="P21" i="2" s="1"/>
  <c r="P20" i="6"/>
  <c r="P21" i="6" s="1"/>
  <c r="M22" i="10" l="1"/>
  <c r="N22" i="10"/>
  <c r="O22" i="10"/>
  <c r="L22" i="10"/>
  <c r="P22" i="10"/>
  <c r="P25" i="10"/>
  <c r="V22" i="10"/>
  <c r="R22" i="10"/>
  <c r="S22" i="10"/>
  <c r="T22" i="10"/>
  <c r="U22" i="10"/>
  <c r="P22" i="6"/>
  <c r="P25" i="6"/>
  <c r="L22" i="6"/>
  <c r="O22" i="6"/>
  <c r="M22" i="6"/>
  <c r="N22" i="6"/>
  <c r="V22" i="2"/>
  <c r="U22" i="2"/>
  <c r="S22" i="2"/>
  <c r="R22" i="2"/>
  <c r="T22" i="2"/>
  <c r="P25" i="2"/>
  <c r="P22" i="2"/>
  <c r="O22" i="2"/>
  <c r="L22" i="2"/>
  <c r="M22" i="2"/>
  <c r="N22" i="2"/>
  <c r="V22" i="6"/>
  <c r="T22" i="6"/>
  <c r="R22" i="6"/>
  <c r="U22" i="6"/>
  <c r="S22" i="6"/>
  <c r="G20" i="11" l="1"/>
  <c r="C20" i="11"/>
  <c r="C20" i="1"/>
  <c r="G20" i="1"/>
  <c r="C20" i="5"/>
  <c r="G20" i="5"/>
  <c r="D20" i="11" l="1"/>
  <c r="D21" i="11" s="1"/>
  <c r="AB15" i="8" s="1"/>
  <c r="C21" i="11"/>
  <c r="AB12" i="8" s="1"/>
  <c r="H20" i="11"/>
  <c r="H21" i="11" s="1"/>
  <c r="G21" i="11"/>
  <c r="D20" i="5"/>
  <c r="D21" i="5" s="1"/>
  <c r="C21" i="5"/>
  <c r="H20" i="1"/>
  <c r="H21" i="1" s="1"/>
  <c r="G21" i="1"/>
  <c r="H20" i="5"/>
  <c r="H21" i="5" s="1"/>
  <c r="G21" i="5"/>
  <c r="D20" i="1"/>
  <c r="D21" i="1" s="1"/>
  <c r="H15" i="4" s="1"/>
  <c r="C21" i="1"/>
  <c r="H12" i="4" l="1"/>
  <c r="L9" i="4"/>
  <c r="AF9" i="8"/>
  <c r="AF9" i="7"/>
  <c r="AB12" i="7"/>
  <c r="AB15" i="7"/>
</calcChain>
</file>

<file path=xl/sharedStrings.xml><?xml version="1.0" encoding="utf-8"?>
<sst xmlns="http://schemas.openxmlformats.org/spreadsheetml/2006/main" count="724" uniqueCount="250">
  <si>
    <t>Classe</t>
  </si>
  <si>
    <t>Ativos</t>
  </si>
  <si>
    <t>Aposentados</t>
  </si>
  <si>
    <t>Pensionistas</t>
  </si>
  <si>
    <t>Total</t>
  </si>
  <si>
    <t>Remuneracao bruta</t>
  </si>
  <si>
    <t>Qtd servidores</t>
  </si>
  <si>
    <t>A</t>
  </si>
  <si>
    <t>B</t>
  </si>
  <si>
    <t>C</t>
  </si>
  <si>
    <t>D</t>
  </si>
  <si>
    <t>E</t>
  </si>
  <si>
    <t>Total (mês)</t>
  </si>
  <si>
    <t>Total (ano)</t>
  </si>
  <si>
    <t>-</t>
  </si>
  <si>
    <t>Fonte: Portal da transparência - Junho/2023</t>
  </si>
  <si>
    <t>CUSTOS REESTRUTURAÇÃO SEM ALTERAÇÃO DO STEP*</t>
  </si>
  <si>
    <t>IMPACTO ANUALIZADO</t>
  </si>
  <si>
    <t>FOLHA ANUAL APÓS ESTRUTURAÇÃO</t>
  </si>
  <si>
    <t>TOTAL ANUALIZADO</t>
  </si>
  <si>
    <t>*Considerando folha sem Auxílio Alimentação</t>
  </si>
  <si>
    <t>*Considerando folha com Auxílio Alimentação</t>
  </si>
  <si>
    <t>Padrão</t>
  </si>
  <si>
    <r>
      <rPr>
        <sz val="10"/>
        <color theme="1"/>
        <rFont val="Arial"/>
      </rPr>
      <t>A</t>
    </r>
  </si>
  <si>
    <r>
      <rPr>
        <sz val="10"/>
        <color theme="1"/>
        <rFont val="Arial"/>
      </rPr>
      <t>B</t>
    </r>
  </si>
  <si>
    <r>
      <rPr>
        <sz val="10"/>
        <color theme="1"/>
        <rFont val="Arial"/>
      </rPr>
      <t>C</t>
    </r>
  </si>
  <si>
    <r>
      <rPr>
        <sz val="10"/>
        <color theme="1"/>
        <rFont val="Arial"/>
      </rPr>
      <t>D</t>
    </r>
  </si>
  <si>
    <r>
      <rPr>
        <sz val="10"/>
        <color theme="1"/>
        <rFont val="Arial"/>
      </rPr>
      <t>E</t>
    </r>
  </si>
  <si>
    <r>
      <rPr>
        <sz val="10"/>
        <color theme="1"/>
        <rFont val="Arial"/>
      </rPr>
      <t>Aposentados/ Pensionistas*</t>
    </r>
  </si>
  <si>
    <t>Efeito Step</t>
  </si>
  <si>
    <r>
      <rPr>
        <sz val="10"/>
        <color theme="1"/>
        <rFont val="Arial"/>
      </rPr>
      <t>P01</t>
    </r>
  </si>
  <si>
    <r>
      <rPr>
        <sz val="10"/>
        <color theme="1"/>
        <rFont val="Arial"/>
      </rPr>
      <t>P02</t>
    </r>
  </si>
  <si>
    <r>
      <rPr>
        <sz val="10"/>
        <color theme="1"/>
        <rFont val="Arial"/>
      </rPr>
      <t>P03</t>
    </r>
  </si>
  <si>
    <r>
      <rPr>
        <sz val="10"/>
        <color theme="1"/>
        <rFont val="Arial"/>
      </rPr>
      <t>P04</t>
    </r>
  </si>
  <si>
    <r>
      <rPr>
        <sz val="10"/>
        <color theme="1"/>
        <rFont val="Arial"/>
      </rPr>
      <t>P05</t>
    </r>
  </si>
  <si>
    <r>
      <rPr>
        <sz val="10"/>
        <color theme="1"/>
        <rFont val="Arial"/>
      </rPr>
      <t>P06</t>
    </r>
  </si>
  <si>
    <r>
      <rPr>
        <sz val="10"/>
        <color theme="1"/>
        <rFont val="Arial"/>
      </rPr>
      <t>P07</t>
    </r>
  </si>
  <si>
    <r>
      <rPr>
        <sz val="10"/>
        <color theme="1"/>
        <rFont val="Arial"/>
      </rPr>
      <t>P08</t>
    </r>
  </si>
  <si>
    <r>
      <rPr>
        <sz val="10"/>
        <color theme="1"/>
        <rFont val="Arial"/>
      </rPr>
      <t>P09</t>
    </r>
  </si>
  <si>
    <r>
      <rPr>
        <sz val="10"/>
        <color theme="1"/>
        <rFont val="Arial"/>
      </rPr>
      <t>P10</t>
    </r>
  </si>
  <si>
    <r>
      <rPr>
        <sz val="10"/>
        <color theme="1"/>
        <rFont val="Arial"/>
      </rPr>
      <t>P11</t>
    </r>
  </si>
  <si>
    <r>
      <rPr>
        <sz val="10"/>
        <color theme="1"/>
        <rFont val="Arial"/>
      </rPr>
      <t>P12</t>
    </r>
  </si>
  <si>
    <r>
      <rPr>
        <sz val="10"/>
        <color theme="1"/>
        <rFont val="Arial"/>
      </rPr>
      <t>P13</t>
    </r>
  </si>
  <si>
    <r>
      <rPr>
        <sz val="10"/>
        <color theme="1"/>
        <rFont val="Arial"/>
      </rPr>
      <t>P14</t>
    </r>
  </si>
  <si>
    <r>
      <rPr>
        <sz val="10"/>
        <color theme="1"/>
        <rFont val="Arial"/>
      </rPr>
      <t>P15</t>
    </r>
  </si>
  <si>
    <r>
      <rPr>
        <sz val="10"/>
        <color theme="1"/>
        <rFont val="Arial"/>
      </rPr>
      <t>P16</t>
    </r>
  </si>
  <si>
    <r>
      <rPr>
        <sz val="10"/>
        <color theme="1"/>
        <rFont val="Arial"/>
      </rPr>
      <t>P17</t>
    </r>
  </si>
  <si>
    <r>
      <rPr>
        <sz val="10"/>
        <color theme="1"/>
        <rFont val="Arial"/>
      </rPr>
      <t>P18</t>
    </r>
  </si>
  <si>
    <r>
      <rPr>
        <sz val="10"/>
        <color theme="1"/>
        <rFont val="Arial"/>
      </rPr>
      <t>P19</t>
    </r>
  </si>
  <si>
    <r>
      <rPr>
        <sz val="10"/>
        <color theme="1"/>
        <rFont val="Arial"/>
      </rPr>
      <t>P20</t>
    </r>
  </si>
  <si>
    <t>TOTAL POR NÍVEL</t>
  </si>
  <si>
    <r>
      <rPr>
        <sz val="10"/>
        <color theme="1"/>
        <rFont val="Arial"/>
      </rPr>
      <t>P21</t>
    </r>
  </si>
  <si>
    <r>
      <rPr>
        <sz val="10"/>
        <color theme="1"/>
        <rFont val="Arial"/>
      </rPr>
      <t>P22</t>
    </r>
  </si>
  <si>
    <t>ATUAL</t>
  </si>
  <si>
    <r>
      <rPr>
        <sz val="10"/>
        <color theme="1"/>
        <rFont val="Arial"/>
      </rPr>
      <t>P23</t>
    </r>
  </si>
  <si>
    <t>Aumento com Step</t>
  </si>
  <si>
    <r>
      <rPr>
        <sz val="10"/>
        <color theme="1"/>
        <rFont val="Arial"/>
      </rPr>
      <t>P24</t>
    </r>
  </si>
  <si>
    <r>
      <rPr>
        <sz val="10"/>
        <color theme="1"/>
        <rFont val="Arial"/>
      </rPr>
      <t>P25</t>
    </r>
  </si>
  <si>
    <r>
      <rPr>
        <sz val="10"/>
        <color theme="1"/>
        <rFont val="Arial"/>
      </rPr>
      <t>P26</t>
    </r>
  </si>
  <si>
    <r>
      <rPr>
        <sz val="10"/>
        <color theme="1"/>
        <rFont val="Arial"/>
      </rPr>
      <t>P27</t>
    </r>
  </si>
  <si>
    <r>
      <rPr>
        <sz val="10"/>
        <color theme="1"/>
        <rFont val="Arial"/>
      </rPr>
      <t>P28</t>
    </r>
  </si>
  <si>
    <r>
      <rPr>
        <sz val="10"/>
        <color theme="1"/>
        <rFont val="Arial"/>
      </rPr>
      <t>P29</t>
    </r>
  </si>
  <si>
    <r>
      <rPr>
        <sz val="10"/>
        <color theme="1"/>
        <rFont val="Arial"/>
      </rPr>
      <t>P30</t>
    </r>
  </si>
  <si>
    <r>
      <rPr>
        <sz val="10"/>
        <color theme="1"/>
        <rFont val="Arial"/>
      </rPr>
      <t>P31</t>
    </r>
  </si>
  <si>
    <r>
      <rPr>
        <sz val="10"/>
        <color theme="1"/>
        <rFont val="Arial"/>
      </rPr>
      <t>P32</t>
    </r>
  </si>
  <si>
    <r>
      <rPr>
        <sz val="10"/>
        <color theme="1"/>
        <rFont val="Arial"/>
      </rPr>
      <t>P33</t>
    </r>
  </si>
  <si>
    <r>
      <rPr>
        <sz val="10"/>
        <color theme="1"/>
        <rFont val="Arial"/>
      </rPr>
      <t>P34</t>
    </r>
  </si>
  <si>
    <r>
      <rPr>
        <sz val="10"/>
        <color theme="1"/>
        <rFont val="Arial"/>
      </rPr>
      <t>P35</t>
    </r>
  </si>
  <si>
    <r>
      <rPr>
        <sz val="10"/>
        <color theme="1"/>
        <rFont val="Arial"/>
      </rPr>
      <t>P36</t>
    </r>
  </si>
  <si>
    <r>
      <rPr>
        <sz val="10"/>
        <color theme="1"/>
        <rFont val="Arial"/>
      </rPr>
      <t>P37</t>
    </r>
  </si>
  <si>
    <r>
      <rPr>
        <sz val="10"/>
        <color theme="1"/>
        <rFont val="Arial"/>
      </rPr>
      <t>P38</t>
    </r>
  </si>
  <si>
    <r>
      <rPr>
        <sz val="10"/>
        <color theme="1"/>
        <rFont val="Arial"/>
      </rPr>
      <t>P39</t>
    </r>
  </si>
  <si>
    <r>
      <rPr>
        <sz val="10"/>
        <color theme="1"/>
        <rFont val="Arial"/>
      </rPr>
      <t>P40</t>
    </r>
  </si>
  <si>
    <r>
      <rPr>
        <sz val="10"/>
        <color theme="1"/>
        <rFont val="Arial"/>
      </rPr>
      <t>P41</t>
    </r>
  </si>
  <si>
    <r>
      <rPr>
        <sz val="10"/>
        <color theme="1"/>
        <rFont val="Arial"/>
      </rPr>
      <t>P42</t>
    </r>
  </si>
  <si>
    <r>
      <rPr>
        <sz val="10"/>
        <color theme="1"/>
        <rFont val="Arial"/>
      </rPr>
      <t>P43</t>
    </r>
  </si>
  <si>
    <r>
      <rPr>
        <sz val="10"/>
        <color theme="1"/>
        <rFont val="Arial"/>
      </rPr>
      <t>P44</t>
    </r>
  </si>
  <si>
    <r>
      <rPr>
        <sz val="10"/>
        <color theme="1"/>
        <rFont val="Arial"/>
      </rPr>
      <t>P45</t>
    </r>
  </si>
  <si>
    <r>
      <rPr>
        <sz val="10"/>
        <color theme="1"/>
        <rFont val="Arial"/>
      </rPr>
      <t>P46</t>
    </r>
  </si>
  <si>
    <r>
      <rPr>
        <sz val="10"/>
        <color theme="1"/>
        <rFont val="Arial"/>
      </rPr>
      <t>P47</t>
    </r>
  </si>
  <si>
    <r>
      <rPr>
        <sz val="10"/>
        <color theme="1"/>
        <rFont val="Arial"/>
      </rPr>
      <t>P48</t>
    </r>
  </si>
  <si>
    <r>
      <rPr>
        <sz val="10"/>
        <color theme="1"/>
        <rFont val="Arial"/>
      </rPr>
      <t>P49</t>
    </r>
  </si>
  <si>
    <r>
      <rPr>
        <sz val="10"/>
        <color theme="1"/>
        <rFont val="Arial"/>
      </rPr>
      <t>TOTAL</t>
    </r>
  </si>
  <si>
    <t>I</t>
  </si>
  <si>
    <t>II</t>
  </si>
  <si>
    <t>III</t>
  </si>
  <si>
    <t>IV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</si>
  <si>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</si>
  <si>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</si>
  <si>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</si>
  <si>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</si>
  <si>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</si>
  <si>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</si>
  <si>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</si>
  <si>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</si>
  <si>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</si>
  <si>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</si>
  <si>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</si>
  <si>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</si>
  <si>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</si>
  <si>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</si>
  <si>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</si>
  <si>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</si>
  <si>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</si>
  <si>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</si>
  <si>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</si>
  <si>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</si>
  <si>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</si>
  <si>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</si>
  <si>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</si>
  <si>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</si>
  <si>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</si>
  <si>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</si>
  <si>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</si>
  <si>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</si>
  <si>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</si>
  <si>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</si>
  <si>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</si>
  <si>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</si>
  <si>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</si>
  <si>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</si>
  <si>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</si>
  <si>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</si>
  <si>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</si>
  <si>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</si>
  <si>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</si>
  <si>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</si>
  <si>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</si>
  <si>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</si>
  <si>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</si>
  <si>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</si>
  <si>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</si>
  <si>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</si>
  <si>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</si>
  <si>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</si>
  <si>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</si>
  <si>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Padrões de Vencimento</t>
  </si>
  <si>
    <t>Vencimento Básico</t>
  </si>
  <si>
    <t>Percentual de Reajuste no piso da Referência (E)</t>
  </si>
  <si>
    <t>117,252% - Percentual Aprovado</t>
  </si>
  <si>
    <r>
      <rPr>
        <b/>
        <sz val="15"/>
        <color theme="1"/>
        <rFont val="Times New Roman"/>
      </rPr>
      <t>A//B</t>
    </r>
  </si>
  <si>
    <r>
      <rPr>
        <b/>
        <sz val="15"/>
        <color theme="1"/>
        <rFont val="Times New Roman"/>
      </rPr>
      <t>C//D</t>
    </r>
  </si>
  <si>
    <r>
      <rPr>
        <b/>
        <sz val="15"/>
        <color theme="1"/>
        <rFont val="Times New Roman"/>
      </rPr>
      <t>E</t>
    </r>
  </si>
  <si>
    <r>
      <rPr>
        <sz val="10"/>
        <color theme="1"/>
        <rFont val="Times New Roman"/>
      </rPr>
      <t>Step</t>
    </r>
  </si>
  <si>
    <t>5% - Step Aprovado</t>
  </si>
  <si>
    <r>
      <rPr>
        <sz val="11"/>
        <color theme="1"/>
        <rFont val="Times New Roman"/>
      </rPr>
      <t>do E</t>
    </r>
  </si>
  <si>
    <r>
      <rPr>
        <sz val="11"/>
        <color theme="1"/>
        <rFont val="Times New Roman"/>
      </rPr>
      <t>do E</t>
    </r>
  </si>
  <si>
    <t>Referência</t>
  </si>
  <si>
    <t>Relação do Piso com o Salário Mínimo</t>
  </si>
  <si>
    <t>8% - Custo do Sinasefe sem VBC</t>
  </si>
  <si>
    <r>
      <rPr>
        <sz val="10"/>
        <color theme="1"/>
        <rFont val="Times New Roman"/>
      </rPr>
      <t>REAJUSTES</t>
    </r>
  </si>
  <si>
    <r>
      <rPr>
        <sz val="10"/>
        <color theme="1"/>
        <rFont val="Times New Roman"/>
      </rPr>
      <t>A</t>
    </r>
  </si>
  <si>
    <r>
      <rPr>
        <sz val="10"/>
        <color theme="1"/>
        <rFont val="Times New Roman"/>
      </rPr>
      <t>B</t>
    </r>
  </si>
  <si>
    <r>
      <rPr>
        <sz val="10"/>
        <color theme="1"/>
        <rFont val="Times New Roman"/>
      </rPr>
      <t>C</t>
    </r>
  </si>
  <si>
    <r>
      <rPr>
        <sz val="10"/>
        <color theme="1"/>
        <rFont val="Times New Roman"/>
      </rPr>
      <t>D</t>
    </r>
  </si>
  <si>
    <r>
      <rPr>
        <sz val="10"/>
        <color theme="1"/>
        <rFont val="Times New Roman"/>
      </rPr>
      <t>E</t>
    </r>
  </si>
  <si>
    <r>
      <rPr>
        <sz val="10"/>
        <color theme="1"/>
        <rFont val="Times New Roman"/>
      </rPr>
      <t>VB</t>
    </r>
  </si>
  <si>
    <t>Folha inclui AA?</t>
  </si>
  <si>
    <t>Não</t>
  </si>
  <si>
    <t>INVESTIMENTO NECESSÁRIO PARA IMPLANTAÇÃO</t>
  </si>
  <si>
    <t>IMPLANTAÇÃO DA ESTRUTURA (apenas lateralização e novas relações percentuais)</t>
  </si>
  <si>
    <t>TOTAL NECESSÁRIO PARA REESTRUTURAÇÃO</t>
  </si>
  <si>
    <t>CUSTO TOTAL DA FOLHA POR ANO - APÓS APLICAÇÃO</t>
  </si>
  <si>
    <t>Metodologia considera todos os aposentados e pensionistas no último nível</t>
  </si>
  <si>
    <r>
      <rPr>
        <sz val="10"/>
        <color theme="1"/>
        <rFont val="Arial"/>
      </rPr>
      <t>A</t>
    </r>
  </si>
  <si>
    <r>
      <rPr>
        <sz val="10"/>
        <color theme="1"/>
        <rFont val="Arial"/>
      </rPr>
      <t>B</t>
    </r>
  </si>
  <si>
    <r>
      <rPr>
        <sz val="10"/>
        <color theme="1"/>
        <rFont val="Arial"/>
      </rPr>
      <t>C</t>
    </r>
  </si>
  <si>
    <r>
      <rPr>
        <sz val="10"/>
        <color theme="1"/>
        <rFont val="Arial"/>
      </rPr>
      <t>D</t>
    </r>
  </si>
  <si>
    <r>
      <rPr>
        <sz val="10"/>
        <color theme="1"/>
        <rFont val="Arial"/>
      </rPr>
      <t>E</t>
    </r>
  </si>
  <si>
    <r>
      <rPr>
        <sz val="10"/>
        <color theme="1"/>
        <rFont val="Arial"/>
      </rPr>
      <t>Aposentados/ Pensionistas*</t>
    </r>
  </si>
  <si>
    <r>
      <rPr>
        <sz val="10"/>
        <color theme="1"/>
        <rFont val="Arial"/>
      </rPr>
      <t>P01</t>
    </r>
  </si>
  <si>
    <r>
      <rPr>
        <sz val="10"/>
        <color theme="1"/>
        <rFont val="Arial"/>
      </rPr>
      <t>P02</t>
    </r>
  </si>
  <si>
    <r>
      <rPr>
        <sz val="10"/>
        <color theme="1"/>
        <rFont val="Arial"/>
      </rPr>
      <t>P03</t>
    </r>
  </si>
  <si>
    <r>
      <rPr>
        <sz val="10"/>
        <color theme="1"/>
        <rFont val="Arial"/>
      </rPr>
      <t>P04</t>
    </r>
  </si>
  <si>
    <r>
      <rPr>
        <sz val="10"/>
        <color theme="1"/>
        <rFont val="Arial"/>
      </rPr>
      <t>P05</t>
    </r>
  </si>
  <si>
    <r>
      <rPr>
        <sz val="10"/>
        <color theme="1"/>
        <rFont val="Arial"/>
      </rPr>
      <t>P06</t>
    </r>
  </si>
  <si>
    <r>
      <rPr>
        <sz val="10"/>
        <color theme="1"/>
        <rFont val="Arial"/>
      </rPr>
      <t>P07</t>
    </r>
  </si>
  <si>
    <r>
      <rPr>
        <sz val="10"/>
        <color theme="1"/>
        <rFont val="Arial"/>
      </rPr>
      <t>P08</t>
    </r>
  </si>
  <si>
    <r>
      <rPr>
        <sz val="10"/>
        <color theme="1"/>
        <rFont val="Arial"/>
      </rPr>
      <t>P09</t>
    </r>
  </si>
  <si>
    <r>
      <rPr>
        <sz val="10"/>
        <color theme="1"/>
        <rFont val="Arial"/>
      </rPr>
      <t>P10</t>
    </r>
  </si>
  <si>
    <r>
      <rPr>
        <sz val="10"/>
        <color theme="1"/>
        <rFont val="Arial"/>
      </rPr>
      <t>P11</t>
    </r>
  </si>
  <si>
    <r>
      <rPr>
        <sz val="10"/>
        <color theme="1"/>
        <rFont val="Arial"/>
      </rPr>
      <t>P12</t>
    </r>
  </si>
  <si>
    <r>
      <rPr>
        <sz val="10"/>
        <color theme="1"/>
        <rFont val="Arial"/>
      </rPr>
      <t>P13</t>
    </r>
  </si>
  <si>
    <r>
      <rPr>
        <sz val="10"/>
        <color theme="1"/>
        <rFont val="Arial"/>
      </rPr>
      <t>P14</t>
    </r>
  </si>
  <si>
    <r>
      <rPr>
        <sz val="10"/>
        <color theme="1"/>
        <rFont val="Arial"/>
      </rPr>
      <t>P15</t>
    </r>
  </si>
  <si>
    <r>
      <rPr>
        <sz val="10"/>
        <color theme="1"/>
        <rFont val="Arial"/>
      </rPr>
      <t>P16</t>
    </r>
  </si>
  <si>
    <r>
      <rPr>
        <sz val="10"/>
        <color theme="1"/>
        <rFont val="Arial"/>
      </rPr>
      <t>P17</t>
    </r>
  </si>
  <si>
    <r>
      <rPr>
        <sz val="10"/>
        <color theme="1"/>
        <rFont val="Arial"/>
      </rPr>
      <t>P18</t>
    </r>
  </si>
  <si>
    <r>
      <rPr>
        <sz val="10"/>
        <color theme="1"/>
        <rFont val="Arial"/>
      </rPr>
      <t>P19</t>
    </r>
  </si>
  <si>
    <r>
      <rPr>
        <sz val="10"/>
        <color theme="1"/>
        <rFont val="Arial"/>
      </rPr>
      <t>P20</t>
    </r>
  </si>
  <si>
    <r>
      <rPr>
        <sz val="10"/>
        <color theme="1"/>
        <rFont val="Arial"/>
      </rPr>
      <t>P21</t>
    </r>
  </si>
  <si>
    <r>
      <rPr>
        <sz val="10"/>
        <color theme="1"/>
        <rFont val="Arial"/>
      </rPr>
      <t>P22</t>
    </r>
  </si>
  <si>
    <r>
      <rPr>
        <sz val="10"/>
        <color theme="1"/>
        <rFont val="Arial"/>
      </rPr>
      <t>P23</t>
    </r>
  </si>
  <si>
    <r>
      <rPr>
        <sz val="10"/>
        <color theme="1"/>
        <rFont val="Arial"/>
      </rPr>
      <t>P24</t>
    </r>
  </si>
  <si>
    <r>
      <rPr>
        <sz val="10"/>
        <color theme="1"/>
        <rFont val="Arial"/>
      </rPr>
      <t>P25</t>
    </r>
  </si>
  <si>
    <r>
      <rPr>
        <sz val="10"/>
        <color theme="1"/>
        <rFont val="Arial"/>
      </rPr>
      <t>P26</t>
    </r>
  </si>
  <si>
    <r>
      <rPr>
        <sz val="10"/>
        <color theme="1"/>
        <rFont val="Arial"/>
      </rPr>
      <t>P27</t>
    </r>
  </si>
  <si>
    <r>
      <rPr>
        <sz val="10"/>
        <color theme="1"/>
        <rFont val="Arial"/>
      </rPr>
      <t>P28</t>
    </r>
  </si>
  <si>
    <r>
      <rPr>
        <sz val="10"/>
        <color theme="1"/>
        <rFont val="Arial"/>
      </rPr>
      <t>P29</t>
    </r>
  </si>
  <si>
    <r>
      <rPr>
        <sz val="10"/>
        <color theme="1"/>
        <rFont val="Arial"/>
      </rPr>
      <t>P30</t>
    </r>
  </si>
  <si>
    <r>
      <rPr>
        <sz val="10"/>
        <color theme="1"/>
        <rFont val="Arial"/>
      </rPr>
      <t>P31</t>
    </r>
  </si>
  <si>
    <r>
      <rPr>
        <sz val="10"/>
        <color theme="1"/>
        <rFont val="Arial"/>
      </rPr>
      <t>P32</t>
    </r>
  </si>
  <si>
    <r>
      <rPr>
        <sz val="10"/>
        <color theme="1"/>
        <rFont val="Arial"/>
      </rPr>
      <t>P33</t>
    </r>
  </si>
  <si>
    <r>
      <rPr>
        <sz val="10"/>
        <color theme="1"/>
        <rFont val="Arial"/>
      </rPr>
      <t>P34</t>
    </r>
  </si>
  <si>
    <r>
      <rPr>
        <sz val="10"/>
        <color theme="1"/>
        <rFont val="Arial"/>
      </rPr>
      <t>P35</t>
    </r>
  </si>
  <si>
    <r>
      <rPr>
        <sz val="10"/>
        <color theme="1"/>
        <rFont val="Arial"/>
      </rPr>
      <t>P36</t>
    </r>
  </si>
  <si>
    <r>
      <rPr>
        <sz val="10"/>
        <color theme="1"/>
        <rFont val="Arial"/>
      </rPr>
      <t>P37</t>
    </r>
  </si>
  <si>
    <r>
      <rPr>
        <sz val="10"/>
        <color theme="1"/>
        <rFont val="Arial"/>
      </rPr>
      <t>P38</t>
    </r>
  </si>
  <si>
    <r>
      <rPr>
        <sz val="10"/>
        <color theme="1"/>
        <rFont val="Arial"/>
      </rPr>
      <t>P39</t>
    </r>
  </si>
  <si>
    <r>
      <rPr>
        <sz val="10"/>
        <color theme="1"/>
        <rFont val="Arial"/>
      </rPr>
      <t>P40</t>
    </r>
  </si>
  <si>
    <r>
      <rPr>
        <sz val="10"/>
        <color theme="1"/>
        <rFont val="Arial"/>
      </rPr>
      <t>P41</t>
    </r>
  </si>
  <si>
    <r>
      <rPr>
        <sz val="10"/>
        <color theme="1"/>
        <rFont val="Arial"/>
      </rPr>
      <t>P42</t>
    </r>
  </si>
  <si>
    <r>
      <rPr>
        <sz val="10"/>
        <color theme="1"/>
        <rFont val="Arial"/>
      </rPr>
      <t>P43</t>
    </r>
  </si>
  <si>
    <r>
      <rPr>
        <sz val="10"/>
        <color theme="1"/>
        <rFont val="Arial"/>
      </rPr>
      <t>P44</t>
    </r>
  </si>
  <si>
    <r>
      <rPr>
        <sz val="10"/>
        <color theme="1"/>
        <rFont val="Arial"/>
      </rPr>
      <t>P45</t>
    </r>
  </si>
  <si>
    <r>
      <rPr>
        <sz val="10"/>
        <color theme="1"/>
        <rFont val="Arial"/>
      </rPr>
      <t>P46</t>
    </r>
  </si>
  <si>
    <r>
      <rPr>
        <sz val="10"/>
        <color theme="1"/>
        <rFont val="Arial"/>
      </rPr>
      <t>P47</t>
    </r>
  </si>
  <si>
    <r>
      <rPr>
        <sz val="10"/>
        <color theme="1"/>
        <rFont val="Arial"/>
      </rPr>
      <t>P48</t>
    </r>
  </si>
  <si>
    <r>
      <rPr>
        <sz val="10"/>
        <color theme="1"/>
        <rFont val="Arial"/>
      </rPr>
      <t>P49</t>
    </r>
  </si>
  <si>
    <r>
      <rPr>
        <sz val="10"/>
        <color theme="1"/>
        <rFont val="Arial"/>
      </rPr>
      <t>TOTAL</t>
    </r>
  </si>
  <si>
    <t>Padrão de Vencimento</t>
  </si>
  <si>
    <t>Auxiliar Educacional</t>
  </si>
  <si>
    <t>Técnico Educional</t>
  </si>
  <si>
    <t>Analista Educacional</t>
  </si>
  <si>
    <t>Percentual de Reajuste no piso da Referência (Auxiliar Educacional)</t>
  </si>
  <si>
    <t>86,781% - Percentual Aprovado</t>
  </si>
  <si>
    <t>V</t>
  </si>
  <si>
    <t>VI</t>
  </si>
  <si>
    <t>VII</t>
  </si>
  <si>
    <t>VIII</t>
  </si>
  <si>
    <r>
      <rPr>
        <sz val="10"/>
        <color theme="1"/>
        <rFont val="Times New Roman"/>
      </rPr>
      <t>Step</t>
    </r>
  </si>
  <si>
    <t>16,54% - Reajuste mínimo para não apresentar VBC</t>
  </si>
  <si>
    <r>
      <rPr>
        <sz val="10"/>
        <color theme="1"/>
        <rFont val="Times New Roman"/>
      </rPr>
      <t>REAJUSTES</t>
    </r>
  </si>
  <si>
    <r>
      <rPr>
        <sz val="10"/>
        <color theme="1"/>
        <rFont val="Times New Roman"/>
      </rPr>
      <t>A</t>
    </r>
  </si>
  <si>
    <r>
      <rPr>
        <sz val="10"/>
        <color theme="1"/>
        <rFont val="Times New Roman"/>
      </rPr>
      <t>B</t>
    </r>
  </si>
  <si>
    <r>
      <rPr>
        <sz val="10"/>
        <color theme="1"/>
        <rFont val="Times New Roman"/>
      </rPr>
      <t>C</t>
    </r>
  </si>
  <si>
    <r>
      <rPr>
        <sz val="10"/>
        <color theme="1"/>
        <rFont val="Times New Roman"/>
      </rPr>
      <t>D</t>
    </r>
  </si>
  <si>
    <r>
      <rPr>
        <sz val="10"/>
        <color theme="1"/>
        <rFont val="Times New Roman"/>
      </rPr>
      <t>E</t>
    </r>
  </si>
  <si>
    <r>
      <rPr>
        <sz val="10"/>
        <color theme="1"/>
        <rFont val="Times New Roman"/>
      </rPr>
      <t>VB</t>
    </r>
  </si>
  <si>
    <t>PISO A</t>
  </si>
  <si>
    <t>TETO A</t>
  </si>
  <si>
    <t>PISO B</t>
  </si>
  <si>
    <t>TETO B</t>
  </si>
  <si>
    <t>PISO C</t>
  </si>
  <si>
    <t>TETO C</t>
  </si>
  <si>
    <t>PISO D</t>
  </si>
  <si>
    <t>TETO D</t>
  </si>
  <si>
    <t>PISO E</t>
  </si>
  <si>
    <t>TETO E</t>
  </si>
  <si>
    <t>VALORES DO PISO E TETO DA MALHA EM DESTAQUE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</si>
</sst>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R$&quot;#,##0.00;[Red]\-&quot;R$&quot;#,##0.00"/>
    <numFmt numFmtId="165" formatCode="&quot;R$&quot;\ #,##0.00"/>
    <numFmt numFmtId="166" formatCode="0.0%"/>
    <numFmt numFmtId="167" formatCode="[$R$ -416]#,##0.00"/>
    <numFmt numFmtId="168" formatCode="0.000"/>
    <numFmt numFmtId="169" formatCode="0.00_);[Red]\(0.00\)"/>
  </numFmts>
  <fonts count="27">
    <font>
      <sz val="11"/>
      <color theme="1"/>
      <name val="Calibri"/>
      <scheme val="minor"/>
    </font>
    <font>
      <b/>
      <sz val="11"/>
      <color theme="0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i/>
      <sz val="11"/>
      <color theme="1"/>
      <name val="Calibri"/>
    </font>
    <font>
      <sz val="9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2"/>
      <color theme="1"/>
      <name val="Calibri"/>
    </font>
    <font>
      <sz val="10"/>
      <color rgb="FF000000"/>
      <name val="Arial"/>
    </font>
    <font>
      <b/>
      <sz val="11"/>
      <color theme="1"/>
      <name val="Times New Roman"/>
    </font>
    <font>
      <b/>
      <sz val="18"/>
      <color theme="1"/>
      <name val="Times New Roman"/>
    </font>
    <font>
      <sz val="10"/>
      <color theme="1"/>
      <name val="Times New Roman"/>
    </font>
    <font>
      <b/>
      <sz val="15"/>
      <color theme="1"/>
      <name val="Times New Roman"/>
    </font>
    <font>
      <sz val="11"/>
      <color theme="1"/>
      <name val="Times New Roman"/>
    </font>
    <font>
      <sz val="11"/>
      <color rgb="FFFFFFFF"/>
      <name val="Calibri"/>
      <scheme val="minor"/>
    </font>
    <font>
      <b/>
      <sz val="18"/>
      <color theme="1"/>
      <name val="Calibri"/>
    </font>
    <font>
      <b/>
      <sz val="22"/>
      <color theme="1"/>
      <name val="Calibri"/>
    </font>
    <font>
      <b/>
      <sz val="26"/>
      <color theme="1"/>
      <name val="Calibri"/>
    </font>
    <font>
      <sz val="10"/>
      <color rgb="FF000000"/>
      <name val="Times New Roman"/>
    </font>
    <font>
      <sz val="11"/>
      <color rgb="FF000000"/>
      <name val="Times New Roman"/>
      <family val="1"/>
    </font>
    <font>
      <sz val="11"/>
      <name val="Calibri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B3CEFB"/>
        <bgColor rgb="FFB3CEFB"/>
      </patternFill>
    </fill>
    <fill>
      <patternFill patternType="solid">
        <fgColor rgb="FFF28E86"/>
        <bgColor rgb="FFF28E86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F7CAAC"/>
        <bgColor rgb="FFF7CAAC"/>
      </patternFill>
    </fill>
    <fill>
      <patternFill patternType="solid">
        <fgColor rgb="FFC6DFB3"/>
        <bgColor rgb="FFC6DFB3"/>
      </patternFill>
    </fill>
    <fill>
      <patternFill patternType="solid">
        <fgColor rgb="FFBCD6ED"/>
        <bgColor rgb="FFBCD6ED"/>
      </patternFill>
    </fill>
    <fill>
      <patternFill patternType="solid">
        <fgColor rgb="FFFFE699"/>
        <bgColor rgb="FFFFE699"/>
      </patternFill>
    </fill>
    <fill>
      <patternFill patternType="solid">
        <fgColor rgb="FF7F7F7F"/>
        <bgColor rgb="FF7F7F7F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wrapText="1"/>
    </xf>
    <xf numFmtId="0" fontId="1" fillId="2" borderId="5" xfId="0" applyFont="1" applyFill="1" applyBorder="1"/>
    <xf numFmtId="0" fontId="3" fillId="0" borderId="5" xfId="0" applyFont="1" applyBorder="1"/>
    <xf numFmtId="165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165" fontId="4" fillId="3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165" fontId="3" fillId="0" borderId="0" xfId="0" applyNumberFormat="1" applyFont="1"/>
    <xf numFmtId="0" fontId="4" fillId="0" borderId="5" xfId="0" applyFont="1" applyBorder="1"/>
    <xf numFmtId="165" fontId="4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5" xfId="0" applyFont="1" applyBorder="1"/>
    <xf numFmtId="165" fontId="5" fillId="0" borderId="5" xfId="0" applyNumberFormat="1" applyFont="1" applyBorder="1"/>
    <xf numFmtId="0" fontId="5" fillId="0" borderId="5" xfId="0" quotePrefix="1" applyFont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6" fillId="0" borderId="6" xfId="0" applyFont="1" applyBorder="1"/>
    <xf numFmtId="10" fontId="3" fillId="0" borderId="0" xfId="0" applyNumberFormat="1" applyFont="1"/>
    <xf numFmtId="0" fontId="7" fillId="0" borderId="0" xfId="0" applyFont="1"/>
    <xf numFmtId="0" fontId="8" fillId="0" borderId="5" xfId="0" applyFont="1" applyBorder="1" applyAlignment="1">
      <alignment horizontal="left" wrapText="1" readingOrder="1"/>
    </xf>
    <xf numFmtId="0" fontId="3" fillId="0" borderId="0" xfId="0" applyFont="1"/>
    <xf numFmtId="0" fontId="8" fillId="5" borderId="5" xfId="0" applyFont="1" applyFill="1" applyBorder="1" applyAlignment="1">
      <alignment horizontal="left" wrapText="1" readingOrder="1"/>
    </xf>
    <xf numFmtId="0" fontId="8" fillId="0" borderId="5" xfId="0" applyFont="1" applyBorder="1" applyAlignment="1">
      <alignment horizontal="right" wrapText="1" readingOrder="1"/>
    </xf>
    <xf numFmtId="166" fontId="3" fillId="0" borderId="0" xfId="0" applyNumberFormat="1" applyFont="1"/>
    <xf numFmtId="0" fontId="8" fillId="0" borderId="9" xfId="0" applyFont="1" applyBorder="1" applyAlignment="1">
      <alignment horizontal="right" wrapText="1" readingOrder="1"/>
    </xf>
    <xf numFmtId="0" fontId="8" fillId="0" borderId="0" xfId="0" applyFont="1" applyAlignment="1">
      <alignment horizontal="right" wrapText="1" readingOrder="1"/>
    </xf>
    <xf numFmtId="0" fontId="10" fillId="0" borderId="0" xfId="0" applyFont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7" fontId="10" fillId="8" borderId="5" xfId="0" applyNumberFormat="1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167" fontId="10" fillId="8" borderId="11" xfId="0" applyNumberFormat="1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 wrapText="1" readingOrder="1"/>
    </xf>
    <xf numFmtId="10" fontId="13" fillId="0" borderId="5" xfId="0" applyNumberFormat="1" applyFont="1" applyBorder="1" applyAlignment="1">
      <alignment horizontal="center" vertical="center" wrapText="1" readingOrder="1"/>
    </xf>
    <xf numFmtId="9" fontId="15" fillId="11" borderId="18" xfId="0" applyNumberFormat="1" applyFont="1" applyFill="1" applyBorder="1" applyAlignment="1">
      <alignment horizontal="right" vertical="center" wrapText="1" readingOrder="1"/>
    </xf>
    <xf numFmtId="0" fontId="15" fillId="11" borderId="19" xfId="0" applyFont="1" applyFill="1" applyBorder="1" applyAlignment="1">
      <alignment horizontal="left" vertical="center" wrapText="1" readingOrder="1"/>
    </xf>
    <xf numFmtId="9" fontId="15" fillId="12" borderId="18" xfId="0" applyNumberFormat="1" applyFont="1" applyFill="1" applyBorder="1" applyAlignment="1">
      <alignment horizontal="right" vertical="center" wrapText="1" readingOrder="1"/>
    </xf>
    <xf numFmtId="0" fontId="15" fillId="12" borderId="20" xfId="0" applyFont="1" applyFill="1" applyBorder="1" applyAlignment="1">
      <alignment horizontal="left" vertical="center" wrapText="1" readingOrder="1"/>
    </xf>
    <xf numFmtId="0" fontId="15" fillId="13" borderId="20" xfId="0" applyFont="1" applyFill="1" applyBorder="1" applyAlignment="1">
      <alignment horizontal="center" vertical="center" wrapText="1" readingOrder="1"/>
    </xf>
    <xf numFmtId="169" fontId="13" fillId="9" borderId="5" xfId="0" applyNumberFormat="1" applyFont="1" applyFill="1" applyBorder="1" applyAlignment="1">
      <alignment horizontal="center" vertical="center" wrapText="1" readingOrder="1"/>
    </xf>
    <xf numFmtId="0" fontId="15" fillId="14" borderId="5" xfId="0" applyFont="1" applyFill="1" applyBorder="1" applyAlignment="1">
      <alignment horizontal="center" vertical="center" wrapText="1" readingOrder="1"/>
    </xf>
    <xf numFmtId="164" fontId="11" fillId="13" borderId="5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center" wrapText="1" readingOrder="1"/>
    </xf>
    <xf numFmtId="164" fontId="15" fillId="13" borderId="5" xfId="0" applyNumberFormat="1" applyFont="1" applyFill="1" applyBorder="1" applyAlignment="1">
      <alignment horizontal="center" vertical="center" wrapText="1" readingOrder="1"/>
    </xf>
    <xf numFmtId="0" fontId="13" fillId="10" borderId="5" xfId="0" applyFont="1" applyFill="1" applyBorder="1" applyAlignment="1">
      <alignment horizontal="center" vertical="center" wrapText="1" readingOrder="1"/>
    </xf>
    <xf numFmtId="0" fontId="13" fillId="9" borderId="5" xfId="0" applyFont="1" applyFill="1" applyBorder="1" applyAlignment="1">
      <alignment horizontal="center" vertical="center" wrapText="1" readingOrder="1"/>
    </xf>
    <xf numFmtId="166" fontId="13" fillId="0" borderId="5" xfId="0" applyNumberFormat="1" applyFont="1" applyBorder="1" applyAlignment="1">
      <alignment horizontal="center" vertical="center" wrapText="1" readingOrder="1"/>
    </xf>
    <xf numFmtId="0" fontId="16" fillId="0" borderId="0" xfId="0" applyFont="1"/>
    <xf numFmtId="0" fontId="3" fillId="0" borderId="0" xfId="0" applyFont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167" fontId="3" fillId="0" borderId="0" xfId="0" applyNumberFormat="1" applyFont="1"/>
    <xf numFmtId="0" fontId="20" fillId="16" borderId="5" xfId="0" applyFont="1" applyFill="1" applyBorder="1" applyAlignment="1">
      <alignment horizontal="center" vertical="center"/>
    </xf>
    <xf numFmtId="0" fontId="20" fillId="17" borderId="5" xfId="0" applyFont="1" applyFill="1" applyBorder="1" applyAlignment="1">
      <alignment horizontal="center" vertical="center"/>
    </xf>
    <xf numFmtId="165" fontId="20" fillId="0" borderId="5" xfId="0" applyNumberFormat="1" applyFont="1" applyBorder="1" applyAlignment="1">
      <alignment horizontal="center" vertical="center"/>
    </xf>
    <xf numFmtId="0" fontId="8" fillId="18" borderId="5" xfId="0" applyFont="1" applyFill="1" applyBorder="1" applyAlignment="1">
      <alignment horizontal="right" wrapText="1" readingOrder="1"/>
    </xf>
    <xf numFmtId="0" fontId="2" fillId="0" borderId="8" xfId="0" applyFont="1" applyBorder="1"/>
    <xf numFmtId="0" fontId="21" fillId="16" borderId="5" xfId="0" applyFont="1" applyFill="1" applyBorder="1" applyAlignment="1">
      <alignment horizontal="center" vertical="center"/>
    </xf>
    <xf numFmtId="0" fontId="21" fillId="17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top"/>
    </xf>
    <xf numFmtId="0" fontId="24" fillId="20" borderId="32" xfId="0" applyFont="1" applyFill="1" applyBorder="1" applyAlignment="1">
      <alignment horizontal="center" vertical="center"/>
    </xf>
    <xf numFmtId="0" fontId="24" fillId="20" borderId="33" xfId="0" applyFont="1" applyFill="1" applyBorder="1" applyAlignment="1">
      <alignment horizontal="center" vertical="center"/>
    </xf>
    <xf numFmtId="0" fontId="24" fillId="21" borderId="3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3" fillId="0" borderId="0" xfId="0" applyFont="1" applyAlignment="1">
      <alignment horizontal="center"/>
    </xf>
    <xf numFmtId="0" fontId="0" fillId="0" borderId="0" xfId="0"/>
    <xf numFmtId="165" fontId="3" fillId="4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4" xfId="0" applyFont="1" applyBorder="1"/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2" fillId="0" borderId="10" xfId="0" applyFont="1" applyBorder="1"/>
    <xf numFmtId="0" fontId="10" fillId="7" borderId="2" xfId="0" applyFont="1" applyFill="1" applyBorder="1" applyAlignment="1">
      <alignment horizontal="center" vertical="center"/>
    </xf>
    <xf numFmtId="164" fontId="15" fillId="11" borderId="2" xfId="0" applyNumberFormat="1" applyFont="1" applyFill="1" applyBorder="1" applyAlignment="1">
      <alignment horizontal="center" vertical="center" wrapText="1" readingOrder="1"/>
    </xf>
    <xf numFmtId="164" fontId="15" fillId="12" borderId="2" xfId="0" applyNumberFormat="1" applyFont="1" applyFill="1" applyBorder="1" applyAlignment="1">
      <alignment horizontal="center" vertical="center" wrapText="1" readingOrder="1"/>
    </xf>
    <xf numFmtId="0" fontId="11" fillId="9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7" xfId="0" applyFont="1" applyBorder="1"/>
    <xf numFmtId="0" fontId="12" fillId="0" borderId="2" xfId="0" applyFont="1" applyBorder="1" applyAlignment="1">
      <alignment horizontal="center" vertical="center" wrapText="1" readingOrder="1"/>
    </xf>
    <xf numFmtId="0" fontId="13" fillId="10" borderId="2" xfId="0" applyFont="1" applyFill="1" applyBorder="1" applyAlignment="1">
      <alignment horizontal="right" vertical="center" wrapText="1" readingOrder="1"/>
    </xf>
    <xf numFmtId="0" fontId="14" fillId="11" borderId="15" xfId="0" applyFont="1" applyFill="1" applyBorder="1" applyAlignment="1">
      <alignment horizontal="center" vertical="center" wrapText="1" readingOrder="1"/>
    </xf>
    <xf numFmtId="0" fontId="2" fillId="0" borderId="16" xfId="0" applyFont="1" applyBorder="1"/>
    <xf numFmtId="0" fontId="14" fillId="12" borderId="15" xfId="0" applyFont="1" applyFill="1" applyBorder="1" applyAlignment="1">
      <alignment horizontal="center" vertical="center" wrapText="1" readingOrder="1"/>
    </xf>
    <xf numFmtId="0" fontId="3" fillId="15" borderId="2" xfId="0" applyFont="1" applyFill="1" applyBorder="1" applyAlignment="1">
      <alignment horizontal="center"/>
    </xf>
    <xf numFmtId="164" fontId="11" fillId="11" borderId="21" xfId="0" applyNumberFormat="1" applyFont="1" applyFill="1" applyBorder="1" applyAlignment="1">
      <alignment horizontal="center" vertical="center" wrapText="1" readingOrder="1"/>
    </xf>
    <xf numFmtId="0" fontId="2" fillId="0" borderId="22" xfId="0" applyFont="1" applyBorder="1"/>
    <xf numFmtId="164" fontId="11" fillId="12" borderId="21" xfId="0" applyNumberFormat="1" applyFont="1" applyFill="1" applyBorder="1" applyAlignment="1">
      <alignment horizontal="center" vertical="center" wrapText="1" readingOrder="1"/>
    </xf>
    <xf numFmtId="0" fontId="3" fillId="3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2" xfId="0" applyFont="1" applyBorder="1"/>
    <xf numFmtId="165" fontId="9" fillId="0" borderId="23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5" fontId="19" fillId="4" borderId="23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/>
    </xf>
    <xf numFmtId="165" fontId="18" fillId="0" borderId="23" xfId="0" applyNumberFormat="1" applyFont="1" applyBorder="1" applyAlignment="1">
      <alignment horizontal="center" vertical="center"/>
    </xf>
    <xf numFmtId="0" fontId="24" fillId="19" borderId="29" xfId="0" applyFont="1" applyFill="1" applyBorder="1" applyAlignment="1">
      <alignment horizontal="center" vertical="top"/>
    </xf>
    <xf numFmtId="0" fontId="25" fillId="0" borderId="30" xfId="0" applyFont="1" applyBorder="1" applyAlignment="1">
      <alignment horizontal="center" vertical="top"/>
    </xf>
    <xf numFmtId="0" fontId="25" fillId="0" borderId="31" xfId="0" applyFont="1" applyBorder="1" applyAlignment="1">
      <alignment horizontal="center" vertical="top"/>
    </xf>
    <xf numFmtId="167" fontId="26" fillId="0" borderId="29" xfId="0" applyNumberFormat="1" applyFont="1" applyBorder="1" applyAlignment="1">
      <alignment horizontal="center" vertical="top"/>
    </xf>
    <xf numFmtId="167" fontId="25" fillId="0" borderId="30" xfId="0" applyNumberFormat="1" applyFont="1" applyBorder="1" applyAlignment="1">
      <alignment horizontal="center" vertical="top"/>
    </xf>
    <xf numFmtId="167" fontId="25" fillId="0" borderId="31" xfId="0" applyNumberFormat="1" applyFont="1" applyBorder="1" applyAlignment="1">
      <alignment horizontal="center" vertical="top"/>
    </xf>
    <xf numFmtId="167" fontId="26" fillId="0" borderId="33" xfId="0" applyNumberFormat="1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top" wrapText="1"/>
    </xf>
    <xf numFmtId="166" fontId="20" fillId="0" borderId="1" xfId="0" applyNumberFormat="1" applyFont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3" borderId="23" xfId="0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 vertical="top" wrapText="1"/>
    </xf>
    <xf numFmtId="0" fontId="22" fillId="0" borderId="12" xfId="0" applyFont="1" applyBorder="1"/>
    <xf numFmtId="166" fontId="21" fillId="0" borderId="1" xfId="0" applyNumberFormat="1" applyFont="1" applyBorder="1" applyAlignment="1">
      <alignment horizontal="center" vertical="center" wrapText="1"/>
    </xf>
    <xf numFmtId="0" fontId="22" fillId="0" borderId="4" xfId="0" applyFont="1" applyBorder="1"/>
    <xf numFmtId="0" fontId="21" fillId="16" borderId="2" xfId="0" applyFont="1" applyFill="1" applyBorder="1" applyAlignment="1">
      <alignment horizontal="center" vertical="center"/>
    </xf>
    <xf numFmtId="0" fontId="22" fillId="0" borderId="10" xfId="0" applyFont="1" applyBorder="1"/>
    <xf numFmtId="0" fontId="22" fillId="0" borderId="3" xfId="0" applyFont="1" applyBorder="1"/>
    <xf numFmtId="0" fontId="21" fillId="17" borderId="2" xfId="0" applyFont="1" applyFill="1" applyBorder="1" applyAlignment="1">
      <alignment horizontal="center" vertical="center"/>
    </xf>
    <xf numFmtId="0" fontId="24" fillId="19" borderId="29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rgb="FFF4C7C3"/>
          <bgColor rgb="FFF4C7C3"/>
        </patternFill>
      </fill>
    </dxf>
    <dxf>
      <font>
        <b/>
        <color rgb="FFFF0000"/>
      </font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000"/>
  <sheetViews>
    <sheetView workbookViewId="0">
      <selection activeCell="B3" sqref="B3:J11"/>
    </sheetView>
  </sheetViews>
  <sheetFormatPr defaultColWidth="14.42578125" defaultRowHeight="15" customHeight="1"/>
  <cols>
    <col min="1" max="1" width="8.7109375" customWidth="1"/>
    <col min="2" max="2" width="12.42578125" customWidth="1"/>
    <col min="3" max="3" width="24.85546875" customWidth="1"/>
    <col min="4" max="4" width="34.85546875" customWidth="1"/>
    <col min="5" max="5" width="20" customWidth="1"/>
    <col min="6" max="6" width="16.5703125" customWidth="1"/>
    <col min="7" max="7" width="20" customWidth="1"/>
    <col min="8" max="8" width="20.5703125" customWidth="1"/>
    <col min="9" max="9" width="21.140625" customWidth="1"/>
    <col min="10" max="10" width="20.5703125" customWidth="1"/>
    <col min="11" max="11" width="19.42578125" customWidth="1"/>
    <col min="12" max="12" width="19.140625" customWidth="1"/>
  </cols>
  <sheetData>
    <row r="3" spans="2:12">
      <c r="B3" s="75" t="s">
        <v>0</v>
      </c>
      <c r="C3" s="69" t="s">
        <v>1</v>
      </c>
      <c r="D3" s="70"/>
      <c r="E3" s="69" t="s">
        <v>2</v>
      </c>
      <c r="F3" s="70"/>
      <c r="G3" s="69" t="s">
        <v>3</v>
      </c>
      <c r="H3" s="70"/>
      <c r="I3" s="69" t="s">
        <v>4</v>
      </c>
      <c r="J3" s="70"/>
      <c r="K3" s="1"/>
    </row>
    <row r="4" spans="2:12">
      <c r="B4" s="76"/>
      <c r="C4" s="2" t="s">
        <v>5</v>
      </c>
      <c r="D4" s="2" t="s">
        <v>6</v>
      </c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1"/>
    </row>
    <row r="5" spans="2:12">
      <c r="B5" s="3" t="s">
        <v>7</v>
      </c>
      <c r="C5" s="4">
        <v>5882896.8399999999</v>
      </c>
      <c r="D5" s="5">
        <v>1643</v>
      </c>
      <c r="E5" s="4">
        <v>6616047.2699999502</v>
      </c>
      <c r="F5" s="5">
        <v>2276</v>
      </c>
      <c r="G5" s="4">
        <v>2372195.3199999998</v>
      </c>
      <c r="H5" s="5">
        <v>983</v>
      </c>
      <c r="I5" s="6">
        <f t="shared" ref="I5:I11" si="0">C5+E5+G5</f>
        <v>14871139.429999951</v>
      </c>
      <c r="J5" s="7">
        <v>4902</v>
      </c>
      <c r="K5" s="1"/>
      <c r="L5" s="8"/>
    </row>
    <row r="6" spans="2:12">
      <c r="B6" s="3" t="s">
        <v>8</v>
      </c>
      <c r="C6" s="4">
        <v>12458725.380000001</v>
      </c>
      <c r="D6" s="5">
        <v>2990</v>
      </c>
      <c r="E6" s="4">
        <v>20517139.260000199</v>
      </c>
      <c r="F6" s="5">
        <v>5702</v>
      </c>
      <c r="G6" s="4">
        <v>10837113.119999999</v>
      </c>
      <c r="H6" s="5">
        <v>3599</v>
      </c>
      <c r="I6" s="6">
        <f t="shared" si="0"/>
        <v>43812977.760000199</v>
      </c>
      <c r="J6" s="7">
        <v>12291</v>
      </c>
      <c r="K6" s="1"/>
      <c r="L6" s="8"/>
    </row>
    <row r="7" spans="2:12">
      <c r="B7" s="3" t="s">
        <v>9</v>
      </c>
      <c r="C7" s="4">
        <v>83377959.369998798</v>
      </c>
      <c r="D7" s="5">
        <v>17777</v>
      </c>
      <c r="E7" s="4">
        <v>66964859.820000403</v>
      </c>
      <c r="F7" s="5">
        <v>15402</v>
      </c>
      <c r="G7" s="4">
        <v>29993121.300000001</v>
      </c>
      <c r="H7" s="5">
        <v>7802</v>
      </c>
      <c r="I7" s="6">
        <f t="shared" si="0"/>
        <v>180335940.4899992</v>
      </c>
      <c r="J7" s="7">
        <v>40981</v>
      </c>
      <c r="K7" s="1"/>
      <c r="L7" s="8"/>
    </row>
    <row r="8" spans="2:12">
      <c r="B8" s="3" t="s">
        <v>10</v>
      </c>
      <c r="C8" s="4">
        <v>332557941.06999099</v>
      </c>
      <c r="D8" s="5">
        <v>62684</v>
      </c>
      <c r="E8" s="4">
        <v>149527821.050001</v>
      </c>
      <c r="F8" s="5">
        <v>25884</v>
      </c>
      <c r="G8" s="4">
        <v>45758860.439999901</v>
      </c>
      <c r="H8" s="5">
        <v>9077</v>
      </c>
      <c r="I8" s="6">
        <f t="shared" si="0"/>
        <v>527844622.5599919</v>
      </c>
      <c r="J8" s="7">
        <v>97645</v>
      </c>
      <c r="K8" s="1"/>
      <c r="L8" s="8"/>
    </row>
    <row r="9" spans="2:12">
      <c r="B9" s="3" t="s">
        <v>11</v>
      </c>
      <c r="C9" s="4">
        <v>495454740.850016</v>
      </c>
      <c r="D9" s="5">
        <v>46073</v>
      </c>
      <c r="E9" s="4">
        <v>207347889.870002</v>
      </c>
      <c r="F9" s="5">
        <v>18331</v>
      </c>
      <c r="G9" s="4">
        <v>27980749.699999999</v>
      </c>
      <c r="H9" s="5">
        <v>3081</v>
      </c>
      <c r="I9" s="6">
        <f t="shared" si="0"/>
        <v>730783380.42001808</v>
      </c>
      <c r="J9" s="7">
        <v>67485</v>
      </c>
      <c r="K9" s="1"/>
      <c r="L9" s="8"/>
    </row>
    <row r="10" spans="2:12">
      <c r="B10" s="9" t="s">
        <v>12</v>
      </c>
      <c r="C10" s="10">
        <v>929732263.510005</v>
      </c>
      <c r="D10" s="11">
        <v>131167</v>
      </c>
      <c r="E10" s="10">
        <v>450973757.27000302</v>
      </c>
      <c r="F10" s="11">
        <v>67595</v>
      </c>
      <c r="G10" s="10">
        <v>116942039.88</v>
      </c>
      <c r="H10" s="11">
        <v>24542</v>
      </c>
      <c r="I10" s="6">
        <f t="shared" si="0"/>
        <v>1497648060.660008</v>
      </c>
      <c r="J10" s="12">
        <v>223304</v>
      </c>
      <c r="K10" s="1"/>
      <c r="L10" s="8"/>
    </row>
    <row r="11" spans="2:12">
      <c r="B11" s="13" t="s">
        <v>13</v>
      </c>
      <c r="C11" s="14">
        <f>C10*13.3</f>
        <v>12365439104.683067</v>
      </c>
      <c r="D11" s="15" t="s">
        <v>14</v>
      </c>
      <c r="E11" s="14">
        <f>E10*13</f>
        <v>5862658844.5100393</v>
      </c>
      <c r="F11" s="15" t="s">
        <v>14</v>
      </c>
      <c r="G11" s="14">
        <f>G10*13</f>
        <v>1520246518.4400001</v>
      </c>
      <c r="H11" s="15" t="s">
        <v>14</v>
      </c>
      <c r="I11" s="6">
        <f t="shared" si="0"/>
        <v>19748344467.633106</v>
      </c>
      <c r="J11" s="16" t="s">
        <v>14</v>
      </c>
      <c r="K11" s="8"/>
    </row>
    <row r="12" spans="2:12">
      <c r="B12" s="17" t="s">
        <v>15</v>
      </c>
    </row>
    <row r="13" spans="2:12">
      <c r="C13" s="18"/>
    </row>
    <row r="14" spans="2:12" ht="15" customHeight="1">
      <c r="B14" s="71" t="s">
        <v>16</v>
      </c>
      <c r="C14" s="72"/>
      <c r="D14" s="72"/>
      <c r="F14" s="71" t="s">
        <v>16</v>
      </c>
      <c r="G14" s="72"/>
      <c r="H14" s="72"/>
      <c r="I14" s="71"/>
      <c r="J14" s="72"/>
    </row>
    <row r="15" spans="2:12" ht="30">
      <c r="C15" s="19" t="s">
        <v>17</v>
      </c>
      <c r="D15" s="1" t="s">
        <v>18</v>
      </c>
      <c r="G15" s="19" t="s">
        <v>17</v>
      </c>
      <c r="H15" s="1" t="s">
        <v>18</v>
      </c>
    </row>
    <row r="16" spans="2:12">
      <c r="B16" s="19" t="s">
        <v>7</v>
      </c>
      <c r="C16" s="8">
        <f>(C5*13.3+(E5+G5)*13)*'Efeito Step'!L25</f>
        <v>75401299.640816271</v>
      </c>
      <c r="D16" s="8">
        <f t="shared" ref="D16:D20" si="1">(C5*13.3+(E5+G5)*13)+C16</f>
        <v>270490981.28281564</v>
      </c>
      <c r="F16" s="19" t="s">
        <v>7</v>
      </c>
      <c r="G16" s="8">
        <f>((C5-658*D5)*13.3+(E5+G5)*13)*'Efeito Step'!L25</f>
        <v>69844053.542992309</v>
      </c>
      <c r="H16" s="8">
        <f t="shared" ref="H16:H20" si="2">((C5-658*D5)*13.3+(E5+G5)*13)+G16</f>
        <v>250555184.98499167</v>
      </c>
    </row>
    <row r="17" spans="2:8">
      <c r="B17" s="19" t="s">
        <v>8</v>
      </c>
      <c r="C17" s="8">
        <f>(C6*13.3+(E6+G6)*13)*'Efeito Step'!M25</f>
        <v>83182365.000193626</v>
      </c>
      <c r="D17" s="8">
        <f t="shared" si="1"/>
        <v>656488693.49419618</v>
      </c>
      <c r="F17" s="19" t="s">
        <v>8</v>
      </c>
      <c r="G17" s="8">
        <f>((C6-658*D6)*13.3+(E6+G6)*13)*'Efeito Step'!M25</f>
        <v>79385778.921307832</v>
      </c>
      <c r="H17" s="8">
        <f t="shared" si="2"/>
        <v>626525421.41531038</v>
      </c>
    </row>
    <row r="18" spans="2:8">
      <c r="B18" s="19" t="s">
        <v>9</v>
      </c>
      <c r="C18" s="8">
        <f>(C7*13.3+(E7+G7)*13)*'Efeito Step'!N25</f>
        <v>991783407.99468112</v>
      </c>
      <c r="D18" s="8">
        <f t="shared" si="1"/>
        <v>3361164022.1756706</v>
      </c>
      <c r="F18" s="19" t="s">
        <v>9</v>
      </c>
      <c r="G18" s="8">
        <f>((C7-658*D7)*13.3+(E7+G7)*13)*'Efeito Step'!N25</f>
        <v>926662864.77425444</v>
      </c>
      <c r="H18" s="8">
        <f t="shared" si="2"/>
        <v>3140469841.1552434</v>
      </c>
    </row>
    <row r="19" spans="2:8">
      <c r="B19" s="19" t="s">
        <v>10</v>
      </c>
      <c r="C19" s="8">
        <f>(C8*13.3+(E8+G8)*13)*'Efeito Step'!O25</f>
        <v>888430207.44650757</v>
      </c>
      <c r="D19" s="8">
        <f t="shared" si="1"/>
        <v>7850177683.0474005</v>
      </c>
      <c r="F19" s="19" t="s">
        <v>10</v>
      </c>
      <c r="G19" s="8">
        <f>((C8-658*D8)*13.3+(E8+G8)*13)*'Efeito Step'!O25</f>
        <v>818423558.8942337</v>
      </c>
      <c r="H19" s="8">
        <f t="shared" si="2"/>
        <v>7231598276.8951263</v>
      </c>
    </row>
    <row r="20" spans="2:8" ht="15.75" customHeight="1">
      <c r="B20" s="19" t="s">
        <v>11</v>
      </c>
      <c r="C20" s="8">
        <f>IF((((C9-658*D9)*13.3+(E9+G9)*13)*'Efeito Step'!P25)&lt;0,0,(C9*13.3+(E9+G9)*13)*'Efeito Step'!P25)</f>
        <v>964868908.05305862</v>
      </c>
      <c r="D20" s="8">
        <f t="shared" si="1"/>
        <v>10613689275.768297</v>
      </c>
      <c r="F20" s="19" t="s">
        <v>11</v>
      </c>
      <c r="G20" s="8">
        <f>IF((((C9-658*D9)*13.3+(E9+G9)*13)*'Efeito Step'!P25)&lt;0,0,((C9-658*D9)*13.3+(E9+G9)*13)*'Efeito Step'!P25)</f>
        <v>924549131.45369637</v>
      </c>
      <c r="H20" s="8">
        <f t="shared" si="2"/>
        <v>10170166246.968937</v>
      </c>
    </row>
    <row r="21" spans="2:8" ht="15.75" customHeight="1">
      <c r="B21" s="77" t="s">
        <v>19</v>
      </c>
      <c r="C21" s="73">
        <f t="shared" ref="C21:D21" si="3">SUM(C16:C20)</f>
        <v>3003666188.1352572</v>
      </c>
      <c r="D21" s="73">
        <f t="shared" si="3"/>
        <v>22752010655.768379</v>
      </c>
      <c r="F21" s="77" t="s">
        <v>19</v>
      </c>
      <c r="G21" s="73">
        <f t="shared" ref="G21:H21" si="4">SUM(G16:G20)</f>
        <v>2818865387.5864844</v>
      </c>
      <c r="H21" s="73">
        <f t="shared" si="4"/>
        <v>21419314971.419609</v>
      </c>
    </row>
    <row r="22" spans="2:8" ht="15.75" customHeight="1">
      <c r="B22" s="72"/>
      <c r="C22" s="74"/>
      <c r="D22" s="74"/>
      <c r="F22" s="72"/>
      <c r="G22" s="74"/>
      <c r="H22" s="74"/>
    </row>
    <row r="23" spans="2:8" ht="15.75" customHeight="1">
      <c r="B23" s="19" t="s">
        <v>20</v>
      </c>
      <c r="D23" s="8"/>
      <c r="F23" s="19" t="s">
        <v>21</v>
      </c>
      <c r="H23" s="8"/>
    </row>
    <row r="24" spans="2:8" ht="15.75" customHeight="1"/>
    <row r="25" spans="2:8" ht="15.75" customHeight="1"/>
    <row r="26" spans="2:8" ht="15.75" customHeight="1"/>
    <row r="27" spans="2:8" ht="15.75" customHeight="1"/>
    <row r="28" spans="2:8" ht="15.75" customHeight="1"/>
    <row r="29" spans="2:8" ht="15.75" customHeight="1"/>
    <row r="30" spans="2:8" ht="15.75" customHeight="1"/>
    <row r="31" spans="2:8" ht="15.75" customHeight="1"/>
    <row r="32" spans="2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3:J3"/>
    <mergeCell ref="B14:D14"/>
    <mergeCell ref="F14:H14"/>
    <mergeCell ref="I14:J14"/>
    <mergeCell ref="G21:G22"/>
    <mergeCell ref="H21:H22"/>
    <mergeCell ref="C3:D3"/>
    <mergeCell ref="E3:F3"/>
    <mergeCell ref="G3:H3"/>
    <mergeCell ref="B3:B4"/>
    <mergeCell ref="B21:B22"/>
    <mergeCell ref="C21:C22"/>
    <mergeCell ref="D21:D22"/>
    <mergeCell ref="F21:F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000"/>
  <sheetViews>
    <sheetView topLeftCell="B14" workbookViewId="0">
      <selection activeCell="AC20" sqref="AC20:AG30"/>
    </sheetView>
  </sheetViews>
  <sheetFormatPr defaultColWidth="14.42578125" defaultRowHeight="15" customHeight="1"/>
  <cols>
    <col min="1" max="1" width="11.140625" customWidth="1"/>
    <col min="2" max="2" width="12.140625" customWidth="1"/>
    <col min="3" max="8" width="2.7109375" customWidth="1"/>
    <col min="9" max="9" width="3.28515625" customWidth="1"/>
    <col min="10" max="10" width="3.85546875" customWidth="1"/>
    <col min="11" max="16" width="2.7109375" customWidth="1"/>
    <col min="17" max="17" width="3.28515625" customWidth="1"/>
    <col min="18" max="18" width="3.85546875" customWidth="1"/>
    <col min="19" max="24" width="2.7109375" customWidth="1"/>
    <col min="25" max="25" width="3.28515625" customWidth="1"/>
    <col min="26" max="26" width="3.85546875" customWidth="1"/>
    <col min="27" max="27" width="2.140625" customWidth="1"/>
    <col min="28" max="28" width="12.42578125" customWidth="1"/>
    <col min="29" max="31" width="8.7109375" customWidth="1"/>
    <col min="32" max="32" width="13.5703125" customWidth="1"/>
    <col min="33" max="33" width="13.7109375" customWidth="1"/>
    <col min="34" max="34" width="1.85546875" customWidth="1"/>
    <col min="35" max="35" width="31.42578125" customWidth="1"/>
    <col min="37" max="37" width="8.85546875" customWidth="1"/>
    <col min="38" max="38" width="6.28515625" hidden="1" customWidth="1"/>
    <col min="39" max="39" width="14.42578125" hidden="1" customWidth="1"/>
  </cols>
  <sheetData>
    <row r="1" spans="1:35" ht="29.45" customHeight="1">
      <c r="A1" s="120" t="s">
        <v>220</v>
      </c>
      <c r="B1" s="122" t="s">
        <v>137</v>
      </c>
      <c r="C1" s="124" t="s">
        <v>221</v>
      </c>
      <c r="D1" s="125"/>
      <c r="E1" s="125"/>
      <c r="F1" s="125"/>
      <c r="G1" s="125"/>
      <c r="H1" s="125"/>
      <c r="I1" s="125"/>
      <c r="J1" s="126"/>
      <c r="K1" s="127" t="s">
        <v>222</v>
      </c>
      <c r="L1" s="125"/>
      <c r="M1" s="125"/>
      <c r="N1" s="125"/>
      <c r="O1" s="125"/>
      <c r="P1" s="125"/>
      <c r="Q1" s="125"/>
      <c r="R1" s="126"/>
      <c r="S1" s="124" t="s">
        <v>223</v>
      </c>
      <c r="T1" s="125"/>
      <c r="U1" s="125"/>
      <c r="V1" s="125"/>
      <c r="W1" s="125"/>
      <c r="X1" s="125"/>
      <c r="Y1" s="125"/>
      <c r="Z1" s="126"/>
      <c r="AB1" s="88" t="s">
        <v>224</v>
      </c>
      <c r="AC1" s="80"/>
      <c r="AD1" s="80"/>
      <c r="AE1" s="80"/>
      <c r="AF1" s="70"/>
      <c r="AG1" s="37">
        <v>0.3</v>
      </c>
      <c r="AI1" s="21" t="s">
        <v>225</v>
      </c>
    </row>
    <row r="2" spans="1:35">
      <c r="A2" s="121"/>
      <c r="B2" s="123"/>
      <c r="C2" s="61" t="s">
        <v>83</v>
      </c>
      <c r="D2" s="61" t="s">
        <v>84</v>
      </c>
      <c r="E2" s="61" t="s">
        <v>85</v>
      </c>
      <c r="F2" s="61" t="s">
        <v>86</v>
      </c>
      <c r="G2" s="61" t="s">
        <v>226</v>
      </c>
      <c r="H2" s="61" t="s">
        <v>227</v>
      </c>
      <c r="I2" s="61" t="s">
        <v>228</v>
      </c>
      <c r="J2" s="61" t="s">
        <v>229</v>
      </c>
      <c r="K2" s="62" t="s">
        <v>83</v>
      </c>
      <c r="L2" s="62" t="s">
        <v>84</v>
      </c>
      <c r="M2" s="62" t="s">
        <v>85</v>
      </c>
      <c r="N2" s="62" t="s">
        <v>86</v>
      </c>
      <c r="O2" s="62" t="s">
        <v>226</v>
      </c>
      <c r="P2" s="62" t="s">
        <v>227</v>
      </c>
      <c r="Q2" s="62" t="s">
        <v>228</v>
      </c>
      <c r="R2" s="62" t="s">
        <v>229</v>
      </c>
      <c r="S2" s="61" t="s">
        <v>83</v>
      </c>
      <c r="T2" s="61" t="s">
        <v>84</v>
      </c>
      <c r="U2" s="61" t="s">
        <v>85</v>
      </c>
      <c r="V2" s="61" t="s">
        <v>86</v>
      </c>
      <c r="W2" s="61" t="s">
        <v>226</v>
      </c>
      <c r="X2" s="61" t="s">
        <v>227</v>
      </c>
      <c r="Y2" s="61" t="s">
        <v>228</v>
      </c>
      <c r="Z2" s="61" t="s">
        <v>229</v>
      </c>
      <c r="AB2" s="88" t="s">
        <v>143</v>
      </c>
      <c r="AC2" s="80"/>
      <c r="AD2" s="80"/>
      <c r="AE2" s="80"/>
      <c r="AF2" s="70"/>
      <c r="AG2" s="37">
        <v>3.9E-2</v>
      </c>
      <c r="AI2" s="19" t="s">
        <v>144</v>
      </c>
    </row>
    <row r="3" spans="1:35">
      <c r="A3" s="63" t="s">
        <v>87</v>
      </c>
      <c r="B3" s="64">
        <f>2120.13+2120.13*AG1</f>
        <v>2756.1689999999999</v>
      </c>
      <c r="C3" s="61">
        <v>1</v>
      </c>
      <c r="D3" s="61"/>
      <c r="E3" s="61"/>
      <c r="F3" s="61"/>
      <c r="G3" s="61"/>
      <c r="H3" s="61"/>
      <c r="I3" s="61"/>
      <c r="J3" s="61"/>
      <c r="K3" s="62"/>
      <c r="L3" s="62"/>
      <c r="M3" s="62"/>
      <c r="N3" s="62"/>
      <c r="O3" s="62"/>
      <c r="P3" s="62"/>
      <c r="Q3" s="62"/>
      <c r="R3" s="62"/>
      <c r="S3" s="61"/>
      <c r="T3" s="61"/>
      <c r="U3" s="61"/>
      <c r="V3" s="61"/>
      <c r="W3" s="61"/>
      <c r="X3" s="61"/>
      <c r="Y3" s="61"/>
      <c r="Z3" s="61"/>
      <c r="AB3" s="88" t="s">
        <v>148</v>
      </c>
      <c r="AC3" s="80"/>
      <c r="AD3" s="80"/>
      <c r="AE3" s="80"/>
      <c r="AF3" s="70"/>
      <c r="AG3" s="43">
        <f>B3/1320</f>
        <v>2.0880068181818179</v>
      </c>
      <c r="AI3" s="118" t="s">
        <v>231</v>
      </c>
    </row>
    <row r="4" spans="1:35">
      <c r="A4" s="63" t="s">
        <v>88</v>
      </c>
      <c r="B4" s="64">
        <f t="shared" ref="B4:B38" si="0">B3+B3*$AG$2</f>
        <v>2863.6595909999996</v>
      </c>
      <c r="C4" s="61">
        <v>2</v>
      </c>
      <c r="D4" s="61">
        <v>1</v>
      </c>
      <c r="E4" s="61"/>
      <c r="F4" s="61"/>
      <c r="G4" s="61"/>
      <c r="H4" s="61"/>
      <c r="I4" s="61"/>
      <c r="J4" s="61"/>
      <c r="K4" s="62"/>
      <c r="L4" s="62"/>
      <c r="M4" s="62"/>
      <c r="N4" s="62"/>
      <c r="O4" s="62"/>
      <c r="P4" s="62"/>
      <c r="Q4" s="62"/>
      <c r="R4" s="62"/>
      <c r="S4" s="61"/>
      <c r="T4" s="61"/>
      <c r="U4" s="61"/>
      <c r="V4" s="61"/>
      <c r="W4" s="61"/>
      <c r="X4" s="61"/>
      <c r="Y4" s="61"/>
      <c r="Z4" s="61"/>
      <c r="AB4" s="46"/>
      <c r="AC4" s="46"/>
      <c r="AD4" s="46"/>
      <c r="AE4" s="46"/>
      <c r="AF4" s="46"/>
      <c r="AG4" s="47"/>
      <c r="AI4" s="72"/>
    </row>
    <row r="5" spans="1:35">
      <c r="A5" s="63" t="s">
        <v>89</v>
      </c>
      <c r="B5" s="64">
        <f t="shared" si="0"/>
        <v>2975.3423150489998</v>
      </c>
      <c r="C5" s="61">
        <v>3</v>
      </c>
      <c r="D5" s="61">
        <v>2</v>
      </c>
      <c r="E5" s="61">
        <v>1</v>
      </c>
      <c r="F5" s="61"/>
      <c r="G5" s="61"/>
      <c r="H5" s="61"/>
      <c r="I5" s="61"/>
      <c r="J5" s="61"/>
      <c r="K5" s="62"/>
      <c r="L5" s="62"/>
      <c r="M5" s="62"/>
      <c r="N5" s="62"/>
      <c r="O5" s="62"/>
      <c r="P5" s="62"/>
      <c r="Q5" s="62"/>
      <c r="R5" s="62"/>
      <c r="S5" s="61"/>
      <c r="T5" s="61"/>
      <c r="U5" s="61"/>
      <c r="V5" s="61"/>
      <c r="W5" s="61"/>
      <c r="X5" s="61"/>
      <c r="Y5" s="61"/>
      <c r="Z5" s="61"/>
      <c r="AB5" s="49" t="s">
        <v>150</v>
      </c>
      <c r="AC5" s="50" t="s">
        <v>151</v>
      </c>
      <c r="AD5" s="50" t="s">
        <v>152</v>
      </c>
      <c r="AE5" s="50" t="s">
        <v>153</v>
      </c>
      <c r="AF5" s="50" t="s">
        <v>154</v>
      </c>
      <c r="AG5" s="50" t="s">
        <v>155</v>
      </c>
    </row>
    <row r="6" spans="1:35">
      <c r="A6" s="63" t="s">
        <v>90</v>
      </c>
      <c r="B6" s="64">
        <f t="shared" si="0"/>
        <v>3091.3806653359106</v>
      </c>
      <c r="C6" s="61">
        <v>4</v>
      </c>
      <c r="D6" s="61">
        <v>3</v>
      </c>
      <c r="E6" s="61">
        <v>2</v>
      </c>
      <c r="F6" s="61">
        <v>1</v>
      </c>
      <c r="G6" s="61"/>
      <c r="H6" s="61"/>
      <c r="I6" s="61"/>
      <c r="J6" s="61"/>
      <c r="K6" s="62"/>
      <c r="L6" s="62"/>
      <c r="M6" s="62"/>
      <c r="N6" s="62"/>
      <c r="O6" s="62"/>
      <c r="P6" s="62"/>
      <c r="Q6" s="62"/>
      <c r="R6" s="62"/>
      <c r="S6" s="61"/>
      <c r="T6" s="61"/>
      <c r="U6" s="61"/>
      <c r="V6" s="61"/>
      <c r="W6" s="61"/>
      <c r="X6" s="61"/>
      <c r="Y6" s="61"/>
      <c r="Z6" s="61"/>
      <c r="AB6" s="50" t="s">
        <v>156</v>
      </c>
      <c r="AC6" s="51">
        <f>(B3-1446.12)/1446.12</f>
        <v>0.90590614886731402</v>
      </c>
      <c r="AD6" s="51">
        <f>(B3-1750.99)/1750.99</f>
        <v>0.57406324422184019</v>
      </c>
      <c r="AE6" s="51">
        <f>(B11-2120.13)/2120.13</f>
        <v>0.7655000441691201</v>
      </c>
      <c r="AF6" s="51">
        <f>(B11-2667.19)/2667.19</f>
        <v>0.40338318929070544</v>
      </c>
      <c r="AG6" s="37">
        <f>(B19-4556.92)/4556.92</f>
        <v>0.11553499857029688</v>
      </c>
      <c r="AI6" s="52" t="s">
        <v>157</v>
      </c>
    </row>
    <row r="7" spans="1:35">
      <c r="A7" s="63" t="s">
        <v>91</v>
      </c>
      <c r="B7" s="64">
        <f t="shared" si="0"/>
        <v>3211.9445112840112</v>
      </c>
      <c r="C7" s="61">
        <v>5</v>
      </c>
      <c r="D7" s="61">
        <v>4</v>
      </c>
      <c r="E7" s="61">
        <v>3</v>
      </c>
      <c r="F7" s="61">
        <v>2</v>
      </c>
      <c r="G7" s="61">
        <v>1</v>
      </c>
      <c r="H7" s="61"/>
      <c r="I7" s="61"/>
      <c r="J7" s="61"/>
      <c r="K7" s="62"/>
      <c r="L7" s="62"/>
      <c r="M7" s="62"/>
      <c r="N7" s="62"/>
      <c r="O7" s="62"/>
      <c r="P7" s="62"/>
      <c r="Q7" s="62"/>
      <c r="R7" s="62"/>
      <c r="S7" s="61"/>
      <c r="T7" s="61"/>
      <c r="U7" s="61"/>
      <c r="V7" s="61"/>
      <c r="W7" s="61"/>
      <c r="X7" s="61"/>
      <c r="Y7" s="61"/>
      <c r="Z7" s="61"/>
      <c r="AI7" s="52" t="s">
        <v>158</v>
      </c>
    </row>
    <row r="8" spans="1:35">
      <c r="A8" s="63" t="s">
        <v>92</v>
      </c>
      <c r="B8" s="64">
        <f t="shared" si="0"/>
        <v>3337.2103472240879</v>
      </c>
      <c r="C8" s="61">
        <v>6</v>
      </c>
      <c r="D8" s="61">
        <v>5</v>
      </c>
      <c r="E8" s="61">
        <v>4</v>
      </c>
      <c r="F8" s="61">
        <v>3</v>
      </c>
      <c r="G8" s="61">
        <v>2</v>
      </c>
      <c r="H8" s="61">
        <v>1</v>
      </c>
      <c r="I8" s="61"/>
      <c r="J8" s="61"/>
      <c r="K8" s="62"/>
      <c r="L8" s="62"/>
      <c r="M8" s="62"/>
      <c r="N8" s="62"/>
      <c r="O8" s="62"/>
      <c r="P8" s="62"/>
      <c r="Q8" s="62"/>
      <c r="R8" s="62"/>
      <c r="S8" s="61"/>
      <c r="T8" s="61"/>
      <c r="U8" s="61"/>
      <c r="V8" s="61"/>
      <c r="W8" s="61"/>
      <c r="X8" s="61"/>
      <c r="Y8" s="61"/>
      <c r="Z8" s="61"/>
      <c r="AB8" s="92" t="s">
        <v>159</v>
      </c>
      <c r="AC8" s="80"/>
      <c r="AD8" s="80"/>
      <c r="AE8" s="80"/>
      <c r="AF8" s="80"/>
      <c r="AG8" s="70"/>
    </row>
    <row r="9" spans="1:35">
      <c r="A9" s="63" t="s">
        <v>93</v>
      </c>
      <c r="B9" s="64">
        <f t="shared" si="0"/>
        <v>3467.3615507658274</v>
      </c>
      <c r="C9" s="61">
        <v>7</v>
      </c>
      <c r="D9" s="61">
        <v>6</v>
      </c>
      <c r="E9" s="61">
        <v>5</v>
      </c>
      <c r="F9" s="61">
        <v>4</v>
      </c>
      <c r="G9" s="61">
        <v>3</v>
      </c>
      <c r="H9" s="61">
        <v>2</v>
      </c>
      <c r="I9" s="61">
        <v>1</v>
      </c>
      <c r="J9" s="61"/>
      <c r="K9" s="62"/>
      <c r="L9" s="62"/>
      <c r="M9" s="62"/>
      <c r="N9" s="62"/>
      <c r="O9" s="62"/>
      <c r="P9" s="62"/>
      <c r="Q9" s="62"/>
      <c r="R9" s="62"/>
      <c r="S9" s="61"/>
      <c r="T9" s="61"/>
      <c r="U9" s="61"/>
      <c r="V9" s="61"/>
      <c r="W9" s="61"/>
      <c r="X9" s="61"/>
      <c r="Y9" s="61"/>
      <c r="Z9" s="61"/>
      <c r="AB9" s="119" t="s">
        <v>160</v>
      </c>
      <c r="AC9" s="97"/>
      <c r="AD9" s="97"/>
      <c r="AE9" s="98"/>
      <c r="AF9" s="102" t="str">
        <f>IF(AI7="Não",IF(AND(AG2=3.9%,AG1=0%),'Base Cálculo Sinasefe'!C21,"Informar circunstâncias atuais"),IF(AND(AG2=3.9%,AG1=0%),'Base Cálculo Sinasefe'!G21,"Informar circunstâncias atuais"))</f>
        <v>Informar circunstâncias atuais</v>
      </c>
      <c r="AG9" s="98"/>
    </row>
    <row r="10" spans="1:35">
      <c r="A10" s="63" t="s">
        <v>94</v>
      </c>
      <c r="B10" s="64">
        <f t="shared" si="0"/>
        <v>3602.5886512456946</v>
      </c>
      <c r="C10" s="61">
        <v>8</v>
      </c>
      <c r="D10" s="61">
        <v>7</v>
      </c>
      <c r="E10" s="61">
        <v>6</v>
      </c>
      <c r="F10" s="61">
        <v>5</v>
      </c>
      <c r="G10" s="61">
        <v>4</v>
      </c>
      <c r="H10" s="61">
        <v>3</v>
      </c>
      <c r="I10" s="61">
        <v>2</v>
      </c>
      <c r="J10" s="61">
        <v>1</v>
      </c>
      <c r="K10" s="62"/>
      <c r="L10" s="62"/>
      <c r="M10" s="62"/>
      <c r="N10" s="62"/>
      <c r="O10" s="62"/>
      <c r="P10" s="62"/>
      <c r="Q10" s="62"/>
      <c r="R10" s="62"/>
      <c r="S10" s="61"/>
      <c r="T10" s="61"/>
      <c r="U10" s="61"/>
      <c r="V10" s="61"/>
      <c r="W10" s="61"/>
      <c r="X10" s="61"/>
      <c r="Y10" s="61"/>
      <c r="Z10" s="61"/>
      <c r="AB10" s="99"/>
      <c r="AC10" s="100"/>
      <c r="AD10" s="100"/>
      <c r="AE10" s="101"/>
      <c r="AF10" s="99"/>
      <c r="AG10" s="101"/>
    </row>
    <row r="11" spans="1:35" ht="23.25">
      <c r="A11" s="63" t="s">
        <v>95</v>
      </c>
      <c r="B11" s="64">
        <f t="shared" si="0"/>
        <v>3743.0896086442767</v>
      </c>
      <c r="C11" s="61">
        <v>9</v>
      </c>
      <c r="D11" s="61">
        <v>8</v>
      </c>
      <c r="E11" s="61">
        <v>7</v>
      </c>
      <c r="F11" s="61">
        <v>6</v>
      </c>
      <c r="G11" s="61">
        <v>5</v>
      </c>
      <c r="H11" s="61">
        <v>4</v>
      </c>
      <c r="I11" s="61">
        <v>3</v>
      </c>
      <c r="J11" s="61">
        <v>2</v>
      </c>
      <c r="K11" s="62">
        <v>1</v>
      </c>
      <c r="L11" s="62"/>
      <c r="M11" s="62"/>
      <c r="N11" s="62"/>
      <c r="O11" s="62"/>
      <c r="P11" s="62"/>
      <c r="Q11" s="62"/>
      <c r="R11" s="62"/>
      <c r="S11" s="61"/>
      <c r="T11" s="61"/>
      <c r="U11" s="61"/>
      <c r="V11" s="61"/>
      <c r="W11" s="61"/>
      <c r="X11" s="61"/>
      <c r="Y11" s="61"/>
      <c r="Z11" s="61"/>
      <c r="AB11" s="105" t="s">
        <v>161</v>
      </c>
      <c r="AC11" s="80"/>
      <c r="AD11" s="80"/>
      <c r="AE11" s="80"/>
      <c r="AF11" s="80"/>
      <c r="AG11" s="70"/>
    </row>
    <row r="12" spans="1:35">
      <c r="A12" s="63" t="s">
        <v>96</v>
      </c>
      <c r="B12" s="64">
        <f t="shared" si="0"/>
        <v>3889.0701033814034</v>
      </c>
      <c r="C12" s="61">
        <v>10</v>
      </c>
      <c r="D12" s="61">
        <v>9</v>
      </c>
      <c r="E12" s="61">
        <v>8</v>
      </c>
      <c r="F12" s="61">
        <v>7</v>
      </c>
      <c r="G12" s="61">
        <v>6</v>
      </c>
      <c r="H12" s="61">
        <v>5</v>
      </c>
      <c r="I12" s="61">
        <v>4</v>
      </c>
      <c r="J12" s="61">
        <v>3</v>
      </c>
      <c r="K12" s="62">
        <v>2</v>
      </c>
      <c r="L12" s="62">
        <v>1</v>
      </c>
      <c r="M12" s="62"/>
      <c r="N12" s="62"/>
      <c r="O12" s="62"/>
      <c r="P12" s="62"/>
      <c r="Q12" s="62"/>
      <c r="R12" s="62"/>
      <c r="S12" s="61"/>
      <c r="T12" s="61"/>
      <c r="U12" s="61"/>
      <c r="V12" s="61"/>
      <c r="W12" s="61"/>
      <c r="X12" s="61"/>
      <c r="Y12" s="61"/>
      <c r="Z12" s="61"/>
      <c r="AB12" s="106">
        <f>IF(AI7="Não",'Base Cálculo Sinasefe AB CD E'!C21,'Base Cálculo Sinasefe AB CD E'!G21)</f>
        <v>6242637975.7990665</v>
      </c>
      <c r="AC12" s="97"/>
      <c r="AD12" s="97"/>
      <c r="AE12" s="97"/>
      <c r="AF12" s="97"/>
      <c r="AG12" s="98"/>
    </row>
    <row r="13" spans="1:35">
      <c r="A13" s="63" t="s">
        <v>97</v>
      </c>
      <c r="B13" s="64">
        <f t="shared" si="0"/>
        <v>4040.743837413278</v>
      </c>
      <c r="C13" s="61">
        <v>11</v>
      </c>
      <c r="D13" s="61">
        <v>10</v>
      </c>
      <c r="E13" s="61">
        <v>9</v>
      </c>
      <c r="F13" s="61">
        <v>8</v>
      </c>
      <c r="G13" s="61">
        <v>7</v>
      </c>
      <c r="H13" s="61">
        <v>6</v>
      </c>
      <c r="I13" s="61">
        <v>5</v>
      </c>
      <c r="J13" s="61">
        <v>4</v>
      </c>
      <c r="K13" s="62">
        <v>3</v>
      </c>
      <c r="L13" s="62">
        <v>2</v>
      </c>
      <c r="M13" s="62">
        <v>1</v>
      </c>
      <c r="N13" s="62"/>
      <c r="O13" s="62"/>
      <c r="P13" s="62"/>
      <c r="Q13" s="62"/>
      <c r="R13" s="62"/>
      <c r="S13" s="61"/>
      <c r="T13" s="61"/>
      <c r="U13" s="61"/>
      <c r="V13" s="61"/>
      <c r="W13" s="61"/>
      <c r="X13" s="61"/>
      <c r="Y13" s="61"/>
      <c r="Z13" s="61"/>
      <c r="AB13" s="99"/>
      <c r="AC13" s="100"/>
      <c r="AD13" s="100"/>
      <c r="AE13" s="100"/>
      <c r="AF13" s="100"/>
      <c r="AG13" s="101"/>
    </row>
    <row r="14" spans="1:35">
      <c r="A14" s="63" t="s">
        <v>98</v>
      </c>
      <c r="B14" s="64">
        <f t="shared" si="0"/>
        <v>4198.3328470723955</v>
      </c>
      <c r="C14" s="61">
        <v>12</v>
      </c>
      <c r="D14" s="61">
        <v>11</v>
      </c>
      <c r="E14" s="61">
        <v>10</v>
      </c>
      <c r="F14" s="61">
        <v>9</v>
      </c>
      <c r="G14" s="61">
        <v>8</v>
      </c>
      <c r="H14" s="61">
        <v>7</v>
      </c>
      <c r="I14" s="61">
        <v>6</v>
      </c>
      <c r="J14" s="61">
        <v>5</v>
      </c>
      <c r="K14" s="62">
        <v>4</v>
      </c>
      <c r="L14" s="62">
        <v>3</v>
      </c>
      <c r="M14" s="62">
        <v>2</v>
      </c>
      <c r="N14" s="62">
        <v>1</v>
      </c>
      <c r="O14" s="62"/>
      <c r="P14" s="62"/>
      <c r="Q14" s="62"/>
      <c r="R14" s="62"/>
      <c r="S14" s="61"/>
      <c r="T14" s="61"/>
      <c r="U14" s="61"/>
      <c r="V14" s="61"/>
      <c r="W14" s="61"/>
      <c r="X14" s="61"/>
      <c r="Y14" s="61"/>
      <c r="Z14" s="61"/>
      <c r="AB14" s="103" t="s">
        <v>162</v>
      </c>
      <c r="AC14" s="80"/>
      <c r="AD14" s="80"/>
      <c r="AE14" s="80"/>
      <c r="AF14" s="80"/>
      <c r="AG14" s="70"/>
    </row>
    <row r="15" spans="1:35">
      <c r="A15" s="63" t="s">
        <v>99</v>
      </c>
      <c r="B15" s="64">
        <f t="shared" si="0"/>
        <v>4362.0678281082191</v>
      </c>
      <c r="C15" s="61">
        <v>13</v>
      </c>
      <c r="D15" s="61">
        <v>12</v>
      </c>
      <c r="E15" s="61">
        <v>11</v>
      </c>
      <c r="F15" s="61">
        <v>10</v>
      </c>
      <c r="G15" s="61">
        <v>9</v>
      </c>
      <c r="H15" s="61">
        <v>8</v>
      </c>
      <c r="I15" s="61">
        <v>7</v>
      </c>
      <c r="J15" s="61">
        <v>6</v>
      </c>
      <c r="K15" s="62">
        <v>5</v>
      </c>
      <c r="L15" s="62">
        <v>4</v>
      </c>
      <c r="M15" s="62">
        <v>3</v>
      </c>
      <c r="N15" s="62">
        <v>2</v>
      </c>
      <c r="O15" s="62">
        <v>1</v>
      </c>
      <c r="P15" s="62"/>
      <c r="Q15" s="62"/>
      <c r="R15" s="62"/>
      <c r="S15" s="61"/>
      <c r="T15" s="61"/>
      <c r="U15" s="61"/>
      <c r="V15" s="61"/>
      <c r="W15" s="61"/>
      <c r="X15" s="61"/>
      <c r="Y15" s="61"/>
      <c r="Z15" s="61"/>
      <c r="AB15" s="104">
        <f>IF(AI7="Não",'Base Cálculo Sinasefe AB CD E'!D21,'Base Cálculo Sinasefe AB CD E'!H21)</f>
        <v>25990982443.43219</v>
      </c>
      <c r="AC15" s="97"/>
      <c r="AD15" s="97"/>
      <c r="AE15" s="97"/>
      <c r="AF15" s="97"/>
      <c r="AG15" s="98"/>
    </row>
    <row r="16" spans="1:35">
      <c r="A16" s="63" t="s">
        <v>100</v>
      </c>
      <c r="B16" s="64">
        <f t="shared" si="0"/>
        <v>4532.1884734044397</v>
      </c>
      <c r="C16" s="61"/>
      <c r="D16" s="61">
        <v>13</v>
      </c>
      <c r="E16" s="61">
        <v>12</v>
      </c>
      <c r="F16" s="61">
        <v>11</v>
      </c>
      <c r="G16" s="61">
        <v>10</v>
      </c>
      <c r="H16" s="61">
        <v>9</v>
      </c>
      <c r="I16" s="61">
        <v>8</v>
      </c>
      <c r="J16" s="61">
        <v>7</v>
      </c>
      <c r="K16" s="62">
        <v>6</v>
      </c>
      <c r="L16" s="62">
        <v>5</v>
      </c>
      <c r="M16" s="62">
        <v>4</v>
      </c>
      <c r="N16" s="62">
        <v>3</v>
      </c>
      <c r="O16" s="62">
        <v>2</v>
      </c>
      <c r="P16" s="62">
        <v>1</v>
      </c>
      <c r="Q16" s="62"/>
      <c r="R16" s="62"/>
      <c r="S16" s="61"/>
      <c r="T16" s="61"/>
      <c r="U16" s="61"/>
      <c r="V16" s="61"/>
      <c r="W16" s="61"/>
      <c r="X16" s="61"/>
      <c r="Y16" s="61"/>
      <c r="Z16" s="61"/>
      <c r="AB16" s="99"/>
      <c r="AC16" s="100"/>
      <c r="AD16" s="100"/>
      <c r="AE16" s="100"/>
      <c r="AF16" s="100"/>
      <c r="AG16" s="101"/>
    </row>
    <row r="17" spans="1:33">
      <c r="A17" s="63" t="s">
        <v>101</v>
      </c>
      <c r="B17" s="64">
        <f t="shared" si="0"/>
        <v>4708.9438238672128</v>
      </c>
      <c r="C17" s="61"/>
      <c r="D17" s="61"/>
      <c r="E17" s="61">
        <v>13</v>
      </c>
      <c r="F17" s="61">
        <v>12</v>
      </c>
      <c r="G17" s="61">
        <v>11</v>
      </c>
      <c r="H17" s="61">
        <v>10</v>
      </c>
      <c r="I17" s="61">
        <v>9</v>
      </c>
      <c r="J17" s="61">
        <v>8</v>
      </c>
      <c r="K17" s="62">
        <v>7</v>
      </c>
      <c r="L17" s="62">
        <v>6</v>
      </c>
      <c r="M17" s="62">
        <v>5</v>
      </c>
      <c r="N17" s="62">
        <v>4</v>
      </c>
      <c r="O17" s="62">
        <v>3</v>
      </c>
      <c r="P17" s="62">
        <v>2</v>
      </c>
      <c r="Q17" s="62">
        <v>1</v>
      </c>
      <c r="R17" s="62"/>
      <c r="S17" s="61"/>
      <c r="T17" s="61"/>
      <c r="U17" s="61"/>
      <c r="V17" s="61"/>
      <c r="W17" s="61"/>
      <c r="X17" s="61"/>
      <c r="Y17" s="61"/>
      <c r="Z17" s="61"/>
    </row>
    <row r="18" spans="1:33">
      <c r="A18" s="63" t="s">
        <v>102</v>
      </c>
      <c r="B18" s="64">
        <f t="shared" si="0"/>
        <v>4892.5926329980339</v>
      </c>
      <c r="C18" s="61"/>
      <c r="D18" s="61"/>
      <c r="E18" s="61"/>
      <c r="F18" s="61">
        <v>13</v>
      </c>
      <c r="G18" s="61">
        <v>12</v>
      </c>
      <c r="H18" s="61">
        <v>11</v>
      </c>
      <c r="I18" s="61">
        <v>10</v>
      </c>
      <c r="J18" s="61">
        <v>9</v>
      </c>
      <c r="K18" s="62">
        <v>8</v>
      </c>
      <c r="L18" s="62">
        <v>7</v>
      </c>
      <c r="M18" s="62">
        <v>6</v>
      </c>
      <c r="N18" s="62">
        <v>5</v>
      </c>
      <c r="O18" s="62">
        <v>4</v>
      </c>
      <c r="P18" s="62">
        <v>3</v>
      </c>
      <c r="Q18" s="62">
        <v>2</v>
      </c>
      <c r="R18" s="62">
        <v>1</v>
      </c>
      <c r="S18" s="61"/>
      <c r="T18" s="61"/>
      <c r="U18" s="61"/>
      <c r="V18" s="61"/>
      <c r="W18" s="61"/>
      <c r="X18" s="61"/>
      <c r="Y18" s="61"/>
      <c r="Z18" s="61"/>
      <c r="AB18" s="21" t="s">
        <v>163</v>
      </c>
    </row>
    <row r="19" spans="1:33">
      <c r="A19" s="63" t="s">
        <v>103</v>
      </c>
      <c r="B19" s="64">
        <f t="shared" si="0"/>
        <v>5083.4037456849574</v>
      </c>
      <c r="C19" s="61"/>
      <c r="D19" s="61"/>
      <c r="E19" s="61"/>
      <c r="F19" s="61"/>
      <c r="G19" s="61">
        <v>13</v>
      </c>
      <c r="H19" s="61">
        <v>12</v>
      </c>
      <c r="I19" s="61">
        <v>11</v>
      </c>
      <c r="J19" s="61">
        <v>10</v>
      </c>
      <c r="K19" s="62">
        <v>9</v>
      </c>
      <c r="L19" s="62">
        <v>8</v>
      </c>
      <c r="M19" s="62">
        <v>7</v>
      </c>
      <c r="N19" s="62">
        <v>6</v>
      </c>
      <c r="O19" s="62">
        <v>5</v>
      </c>
      <c r="P19" s="62">
        <v>4</v>
      </c>
      <c r="Q19" s="62">
        <v>3</v>
      </c>
      <c r="R19" s="62">
        <v>2</v>
      </c>
      <c r="S19" s="61">
        <v>1</v>
      </c>
      <c r="T19" s="61"/>
      <c r="U19" s="61"/>
      <c r="V19" s="61"/>
      <c r="W19" s="61"/>
      <c r="X19" s="61"/>
      <c r="Y19" s="61"/>
      <c r="Z19" s="61"/>
    </row>
    <row r="20" spans="1:33" ht="15.75" thickBot="1">
      <c r="A20" s="63" t="s">
        <v>104</v>
      </c>
      <c r="B20" s="64">
        <f t="shared" si="0"/>
        <v>5281.656491766671</v>
      </c>
      <c r="C20" s="61"/>
      <c r="D20" s="61"/>
      <c r="E20" s="61"/>
      <c r="F20" s="61"/>
      <c r="G20" s="61"/>
      <c r="H20" s="61">
        <v>13</v>
      </c>
      <c r="I20" s="61">
        <v>12</v>
      </c>
      <c r="J20" s="61">
        <v>11</v>
      </c>
      <c r="K20" s="62">
        <v>10</v>
      </c>
      <c r="L20" s="62">
        <v>9</v>
      </c>
      <c r="M20" s="62">
        <v>8</v>
      </c>
      <c r="N20" s="62">
        <v>7</v>
      </c>
      <c r="O20" s="62">
        <v>6</v>
      </c>
      <c r="P20" s="62">
        <v>5</v>
      </c>
      <c r="Q20" s="62">
        <v>4</v>
      </c>
      <c r="R20" s="62">
        <v>3</v>
      </c>
      <c r="S20" s="61">
        <v>2</v>
      </c>
      <c r="T20" s="61">
        <v>1</v>
      </c>
      <c r="U20" s="61"/>
      <c r="V20" s="61"/>
      <c r="W20" s="61"/>
      <c r="X20" s="61"/>
      <c r="Y20" s="61"/>
      <c r="Z20" s="61"/>
      <c r="AC20" s="65"/>
      <c r="AD20" s="128" t="s">
        <v>249</v>
      </c>
      <c r="AE20" s="129"/>
      <c r="AF20" s="129"/>
      <c r="AG20" s="130"/>
    </row>
    <row r="21" spans="1:33" ht="15.75" customHeight="1">
      <c r="A21" s="63" t="s">
        <v>105</v>
      </c>
      <c r="B21" s="64">
        <f t="shared" si="0"/>
        <v>5487.6410949455712</v>
      </c>
      <c r="C21" s="61"/>
      <c r="D21" s="61"/>
      <c r="E21" s="61"/>
      <c r="F21" s="61"/>
      <c r="G21" s="61"/>
      <c r="H21" s="61"/>
      <c r="I21" s="61">
        <v>13</v>
      </c>
      <c r="J21" s="61">
        <v>12</v>
      </c>
      <c r="K21" s="62">
        <v>11</v>
      </c>
      <c r="L21" s="62">
        <v>10</v>
      </c>
      <c r="M21" s="62">
        <v>9</v>
      </c>
      <c r="N21" s="62">
        <v>8</v>
      </c>
      <c r="O21" s="62">
        <v>7</v>
      </c>
      <c r="P21" s="62">
        <v>6</v>
      </c>
      <c r="Q21" s="62">
        <v>5</v>
      </c>
      <c r="R21" s="62">
        <v>4</v>
      </c>
      <c r="S21" s="61">
        <v>3</v>
      </c>
      <c r="T21" s="61">
        <v>2</v>
      </c>
      <c r="U21" s="61">
        <v>1</v>
      </c>
      <c r="V21" s="61"/>
      <c r="W21" s="61"/>
      <c r="X21" s="61"/>
      <c r="Y21" s="61"/>
      <c r="Z21" s="61"/>
      <c r="AC21" s="66" t="s">
        <v>239</v>
      </c>
      <c r="AD21" s="110">
        <f>B3</f>
        <v>2756.1689999999999</v>
      </c>
      <c r="AE21" s="111"/>
      <c r="AF21" s="111"/>
      <c r="AG21" s="112"/>
    </row>
    <row r="22" spans="1:33" ht="15.75" customHeight="1">
      <c r="A22" s="63" t="s">
        <v>106</v>
      </c>
      <c r="B22" s="64">
        <f t="shared" si="0"/>
        <v>5701.6590976484486</v>
      </c>
      <c r="C22" s="61"/>
      <c r="D22" s="61"/>
      <c r="E22" s="61"/>
      <c r="F22" s="61"/>
      <c r="G22" s="61"/>
      <c r="H22" s="61"/>
      <c r="I22" s="61"/>
      <c r="J22" s="61">
        <v>13</v>
      </c>
      <c r="K22" s="62">
        <v>12</v>
      </c>
      <c r="L22" s="62">
        <v>11</v>
      </c>
      <c r="M22" s="62">
        <v>10</v>
      </c>
      <c r="N22" s="62">
        <v>9</v>
      </c>
      <c r="O22" s="62">
        <v>8</v>
      </c>
      <c r="P22" s="62">
        <v>7</v>
      </c>
      <c r="Q22" s="62">
        <v>6</v>
      </c>
      <c r="R22" s="62">
        <v>5</v>
      </c>
      <c r="S22" s="61">
        <v>4</v>
      </c>
      <c r="T22" s="61">
        <v>3</v>
      </c>
      <c r="U22" s="61">
        <v>2</v>
      </c>
      <c r="V22" s="61">
        <v>1</v>
      </c>
      <c r="W22" s="61"/>
      <c r="X22" s="61"/>
      <c r="Y22" s="61"/>
      <c r="Z22" s="61"/>
      <c r="AC22" s="68" t="s">
        <v>240</v>
      </c>
      <c r="AD22" s="110">
        <f>B22</f>
        <v>5701.6590976484486</v>
      </c>
      <c r="AE22" s="111"/>
      <c r="AF22" s="111"/>
      <c r="AG22" s="112"/>
    </row>
    <row r="23" spans="1:33" ht="15.75" customHeight="1">
      <c r="A23" s="63" t="s">
        <v>107</v>
      </c>
      <c r="B23" s="64">
        <f t="shared" si="0"/>
        <v>5924.0238024567379</v>
      </c>
      <c r="C23" s="61"/>
      <c r="D23" s="61"/>
      <c r="E23" s="61"/>
      <c r="F23" s="61"/>
      <c r="G23" s="61"/>
      <c r="H23" s="61"/>
      <c r="I23" s="61"/>
      <c r="J23" s="61"/>
      <c r="K23" s="62">
        <v>13</v>
      </c>
      <c r="L23" s="62">
        <v>12</v>
      </c>
      <c r="M23" s="62">
        <v>11</v>
      </c>
      <c r="N23" s="62">
        <v>10</v>
      </c>
      <c r="O23" s="62">
        <v>9</v>
      </c>
      <c r="P23" s="62">
        <v>8</v>
      </c>
      <c r="Q23" s="62">
        <v>7</v>
      </c>
      <c r="R23" s="62">
        <v>6</v>
      </c>
      <c r="S23" s="61">
        <v>5</v>
      </c>
      <c r="T23" s="61">
        <v>4</v>
      </c>
      <c r="U23" s="61">
        <v>3</v>
      </c>
      <c r="V23" s="61">
        <v>2</v>
      </c>
      <c r="W23" s="61">
        <v>1</v>
      </c>
      <c r="X23" s="61"/>
      <c r="Y23" s="61"/>
      <c r="Z23" s="61"/>
      <c r="AC23" s="67" t="s">
        <v>241</v>
      </c>
      <c r="AD23" s="110">
        <f>B3</f>
        <v>2756.1689999999999</v>
      </c>
      <c r="AE23" s="111"/>
      <c r="AF23" s="111"/>
      <c r="AG23" s="112"/>
    </row>
    <row r="24" spans="1:33" ht="15.75" customHeight="1">
      <c r="A24" s="63" t="s">
        <v>108</v>
      </c>
      <c r="B24" s="64">
        <f t="shared" si="0"/>
        <v>6155.0607307525506</v>
      </c>
      <c r="C24" s="61"/>
      <c r="D24" s="61"/>
      <c r="E24" s="61"/>
      <c r="F24" s="61"/>
      <c r="G24" s="61"/>
      <c r="H24" s="61"/>
      <c r="I24" s="61"/>
      <c r="J24" s="61"/>
      <c r="K24" s="62"/>
      <c r="L24" s="62">
        <v>13</v>
      </c>
      <c r="M24" s="62">
        <v>12</v>
      </c>
      <c r="N24" s="62">
        <v>11</v>
      </c>
      <c r="O24" s="62">
        <v>10</v>
      </c>
      <c r="P24" s="62">
        <v>9</v>
      </c>
      <c r="Q24" s="62">
        <v>8</v>
      </c>
      <c r="R24" s="62">
        <v>7</v>
      </c>
      <c r="S24" s="61">
        <v>6</v>
      </c>
      <c r="T24" s="61">
        <v>5</v>
      </c>
      <c r="U24" s="61">
        <v>4</v>
      </c>
      <c r="V24" s="61">
        <v>3</v>
      </c>
      <c r="W24" s="61">
        <v>2</v>
      </c>
      <c r="X24" s="61">
        <v>1</v>
      </c>
      <c r="Y24" s="61"/>
      <c r="Z24" s="61"/>
      <c r="AC24" s="68" t="s">
        <v>242</v>
      </c>
      <c r="AD24" s="110">
        <f>B22</f>
        <v>5701.6590976484486</v>
      </c>
      <c r="AE24" s="111"/>
      <c r="AF24" s="111"/>
      <c r="AG24" s="112"/>
    </row>
    <row r="25" spans="1:33" ht="15.75" customHeight="1">
      <c r="A25" s="63" t="s">
        <v>109</v>
      </c>
      <c r="B25" s="64">
        <f t="shared" si="0"/>
        <v>6395.1080992519001</v>
      </c>
      <c r="C25" s="61"/>
      <c r="D25" s="61"/>
      <c r="E25" s="61"/>
      <c r="F25" s="61"/>
      <c r="G25" s="61"/>
      <c r="H25" s="61"/>
      <c r="I25" s="61"/>
      <c r="J25" s="61"/>
      <c r="K25" s="62"/>
      <c r="L25" s="62"/>
      <c r="M25" s="62">
        <v>13</v>
      </c>
      <c r="N25" s="62">
        <v>12</v>
      </c>
      <c r="O25" s="62">
        <v>11</v>
      </c>
      <c r="P25" s="62">
        <v>10</v>
      </c>
      <c r="Q25" s="62">
        <v>9</v>
      </c>
      <c r="R25" s="62">
        <v>8</v>
      </c>
      <c r="S25" s="61">
        <v>7</v>
      </c>
      <c r="T25" s="61">
        <v>6</v>
      </c>
      <c r="U25" s="61">
        <v>5</v>
      </c>
      <c r="V25" s="61">
        <v>4</v>
      </c>
      <c r="W25" s="61">
        <v>3</v>
      </c>
      <c r="X25" s="61">
        <v>2</v>
      </c>
      <c r="Y25" s="61">
        <v>1</v>
      </c>
      <c r="Z25" s="61"/>
      <c r="AC25" s="67" t="s">
        <v>243</v>
      </c>
      <c r="AD25" s="110">
        <f>B11</f>
        <v>3743.0896086442767</v>
      </c>
      <c r="AE25" s="111"/>
      <c r="AF25" s="111"/>
      <c r="AG25" s="112"/>
    </row>
    <row r="26" spans="1:33" ht="15.75" customHeight="1">
      <c r="A26" s="63" t="s">
        <v>110</v>
      </c>
      <c r="B26" s="64">
        <f t="shared" si="0"/>
        <v>6644.5173151227245</v>
      </c>
      <c r="C26" s="61"/>
      <c r="D26" s="61"/>
      <c r="E26" s="61"/>
      <c r="F26" s="61"/>
      <c r="G26" s="61"/>
      <c r="H26" s="61"/>
      <c r="I26" s="61"/>
      <c r="J26" s="61"/>
      <c r="K26" s="62"/>
      <c r="L26" s="62"/>
      <c r="M26" s="62"/>
      <c r="N26" s="62">
        <v>13</v>
      </c>
      <c r="O26" s="62">
        <v>12</v>
      </c>
      <c r="P26" s="62">
        <v>11</v>
      </c>
      <c r="Q26" s="62">
        <v>10</v>
      </c>
      <c r="R26" s="62">
        <v>9</v>
      </c>
      <c r="S26" s="61">
        <v>8</v>
      </c>
      <c r="T26" s="61">
        <v>7</v>
      </c>
      <c r="U26" s="61">
        <v>6</v>
      </c>
      <c r="V26" s="61">
        <v>5</v>
      </c>
      <c r="W26" s="61">
        <v>4</v>
      </c>
      <c r="X26" s="61">
        <v>3</v>
      </c>
      <c r="Y26" s="61">
        <v>2</v>
      </c>
      <c r="Z26" s="61">
        <v>1</v>
      </c>
      <c r="AC26" s="68" t="s">
        <v>244</v>
      </c>
      <c r="AD26" s="110">
        <f>B30</f>
        <v>7743.291837488925</v>
      </c>
      <c r="AE26" s="111"/>
      <c r="AF26" s="111"/>
      <c r="AG26" s="112"/>
    </row>
    <row r="27" spans="1:33" ht="15.75" customHeight="1">
      <c r="A27" s="63" t="s">
        <v>111</v>
      </c>
      <c r="B27" s="64">
        <f t="shared" si="0"/>
        <v>6903.653490412511</v>
      </c>
      <c r="C27" s="61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>
        <v>13</v>
      </c>
      <c r="P27" s="62">
        <v>12</v>
      </c>
      <c r="Q27" s="62">
        <v>11</v>
      </c>
      <c r="R27" s="62">
        <v>10</v>
      </c>
      <c r="S27" s="61">
        <v>9</v>
      </c>
      <c r="T27" s="61">
        <v>8</v>
      </c>
      <c r="U27" s="61">
        <v>7</v>
      </c>
      <c r="V27" s="61">
        <v>6</v>
      </c>
      <c r="W27" s="61">
        <v>5</v>
      </c>
      <c r="X27" s="61">
        <v>4</v>
      </c>
      <c r="Y27" s="61">
        <v>3</v>
      </c>
      <c r="Z27" s="61">
        <v>2</v>
      </c>
      <c r="AC27" s="67" t="s">
        <v>245</v>
      </c>
      <c r="AD27" s="110">
        <f>B11</f>
        <v>3743.0896086442767</v>
      </c>
      <c r="AE27" s="111"/>
      <c r="AF27" s="111"/>
      <c r="AG27" s="112"/>
    </row>
    <row r="28" spans="1:33" ht="15.75" customHeight="1">
      <c r="A28" s="63" t="s">
        <v>112</v>
      </c>
      <c r="B28" s="64">
        <f t="shared" si="0"/>
        <v>7172.8959765385989</v>
      </c>
      <c r="C28" s="61"/>
      <c r="D28" s="61"/>
      <c r="E28" s="61"/>
      <c r="F28" s="61"/>
      <c r="G28" s="61"/>
      <c r="H28" s="61"/>
      <c r="I28" s="61"/>
      <c r="J28" s="61"/>
      <c r="K28" s="62"/>
      <c r="L28" s="62"/>
      <c r="M28" s="62"/>
      <c r="N28" s="62"/>
      <c r="O28" s="62"/>
      <c r="P28" s="62">
        <v>13</v>
      </c>
      <c r="Q28" s="62">
        <v>12</v>
      </c>
      <c r="R28" s="62">
        <v>11</v>
      </c>
      <c r="S28" s="61">
        <v>10</v>
      </c>
      <c r="T28" s="61">
        <v>9</v>
      </c>
      <c r="U28" s="61">
        <v>8</v>
      </c>
      <c r="V28" s="61">
        <v>7</v>
      </c>
      <c r="W28" s="61">
        <v>6</v>
      </c>
      <c r="X28" s="61">
        <v>5</v>
      </c>
      <c r="Y28" s="61">
        <v>4</v>
      </c>
      <c r="Z28" s="61">
        <v>3</v>
      </c>
      <c r="AC28" s="68" t="s">
        <v>246</v>
      </c>
      <c r="AD28" s="113">
        <f>B30</f>
        <v>7743.291837488925</v>
      </c>
      <c r="AE28" s="113"/>
      <c r="AF28" s="113"/>
      <c r="AG28" s="113"/>
    </row>
    <row r="29" spans="1:33" ht="15.75" customHeight="1">
      <c r="A29" s="63" t="s">
        <v>113</v>
      </c>
      <c r="B29" s="64">
        <f t="shared" si="0"/>
        <v>7452.6389196236041</v>
      </c>
      <c r="C29" s="61"/>
      <c r="D29" s="61"/>
      <c r="E29" s="61"/>
      <c r="F29" s="61"/>
      <c r="G29" s="61"/>
      <c r="H29" s="61"/>
      <c r="I29" s="61"/>
      <c r="J29" s="61"/>
      <c r="K29" s="62"/>
      <c r="L29" s="62"/>
      <c r="M29" s="62"/>
      <c r="N29" s="62"/>
      <c r="O29" s="62"/>
      <c r="P29" s="62"/>
      <c r="Q29" s="62">
        <v>13</v>
      </c>
      <c r="R29" s="62">
        <v>12</v>
      </c>
      <c r="S29" s="61">
        <v>11</v>
      </c>
      <c r="T29" s="61">
        <v>10</v>
      </c>
      <c r="U29" s="61">
        <v>9</v>
      </c>
      <c r="V29" s="61">
        <v>8</v>
      </c>
      <c r="W29" s="61">
        <v>7</v>
      </c>
      <c r="X29" s="61">
        <v>6</v>
      </c>
      <c r="Y29" s="61">
        <v>5</v>
      </c>
      <c r="Z29" s="61">
        <v>4</v>
      </c>
      <c r="AC29" s="67" t="s">
        <v>247</v>
      </c>
      <c r="AD29" s="113">
        <f>B19</f>
        <v>5083.4037456849574</v>
      </c>
      <c r="AE29" s="113"/>
      <c r="AF29" s="113"/>
      <c r="AG29" s="113"/>
    </row>
    <row r="30" spans="1:33" ht="15.75" customHeight="1">
      <c r="A30" s="63" t="s">
        <v>114</v>
      </c>
      <c r="B30" s="64">
        <f t="shared" si="0"/>
        <v>7743.291837488925</v>
      </c>
      <c r="C30" s="61"/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2"/>
      <c r="O30" s="62"/>
      <c r="P30" s="62"/>
      <c r="Q30" s="62"/>
      <c r="R30" s="62">
        <v>13</v>
      </c>
      <c r="S30" s="61">
        <v>12</v>
      </c>
      <c r="T30" s="61">
        <v>11</v>
      </c>
      <c r="U30" s="61">
        <v>10</v>
      </c>
      <c r="V30" s="61">
        <v>9</v>
      </c>
      <c r="W30" s="61">
        <v>8</v>
      </c>
      <c r="X30" s="61">
        <v>7</v>
      </c>
      <c r="Y30" s="61">
        <v>6</v>
      </c>
      <c r="Z30" s="61">
        <v>5</v>
      </c>
      <c r="AC30" s="68" t="s">
        <v>248</v>
      </c>
      <c r="AD30" s="113">
        <f>B38</f>
        <v>10515.986216231604</v>
      </c>
      <c r="AE30" s="113"/>
      <c r="AF30" s="113"/>
      <c r="AG30" s="113"/>
    </row>
    <row r="31" spans="1:33" ht="15.75" customHeight="1">
      <c r="A31" s="63" t="s">
        <v>115</v>
      </c>
      <c r="B31" s="64">
        <f t="shared" si="0"/>
        <v>8045.2802191509927</v>
      </c>
      <c r="C31" s="61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1">
        <v>13</v>
      </c>
      <c r="T31" s="61">
        <v>12</v>
      </c>
      <c r="U31" s="61">
        <v>11</v>
      </c>
      <c r="V31" s="61">
        <v>10</v>
      </c>
      <c r="W31" s="61">
        <v>9</v>
      </c>
      <c r="X31" s="61">
        <v>8</v>
      </c>
      <c r="Y31" s="61">
        <v>7</v>
      </c>
      <c r="Z31" s="61">
        <v>6</v>
      </c>
    </row>
    <row r="32" spans="1:33" ht="15.75" customHeight="1">
      <c r="A32" s="63" t="s">
        <v>116</v>
      </c>
      <c r="B32" s="64">
        <f t="shared" si="0"/>
        <v>8359.0461476978817</v>
      </c>
      <c r="C32" s="61"/>
      <c r="D32" s="61"/>
      <c r="E32" s="61"/>
      <c r="F32" s="61"/>
      <c r="G32" s="61"/>
      <c r="H32" s="61"/>
      <c r="I32" s="61"/>
      <c r="J32" s="61"/>
      <c r="K32" s="62"/>
      <c r="L32" s="62"/>
      <c r="M32" s="62"/>
      <c r="N32" s="62"/>
      <c r="O32" s="62"/>
      <c r="P32" s="62"/>
      <c r="Q32" s="62"/>
      <c r="R32" s="62"/>
      <c r="S32" s="61"/>
      <c r="T32" s="61">
        <v>13</v>
      </c>
      <c r="U32" s="61">
        <v>12</v>
      </c>
      <c r="V32" s="61">
        <v>11</v>
      </c>
      <c r="W32" s="61">
        <v>10</v>
      </c>
      <c r="X32" s="61">
        <v>9</v>
      </c>
      <c r="Y32" s="61">
        <v>8</v>
      </c>
      <c r="Z32" s="61">
        <v>7</v>
      </c>
    </row>
    <row r="33" spans="1:26" ht="15.75" customHeight="1">
      <c r="A33" s="63" t="s">
        <v>117</v>
      </c>
      <c r="B33" s="64">
        <f t="shared" si="0"/>
        <v>8685.0489474580991</v>
      </c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  <c r="N33" s="62"/>
      <c r="O33" s="62"/>
      <c r="P33" s="62"/>
      <c r="Q33" s="62"/>
      <c r="R33" s="62"/>
      <c r="S33" s="61"/>
      <c r="T33" s="61"/>
      <c r="U33" s="61">
        <v>13</v>
      </c>
      <c r="V33" s="61">
        <v>12</v>
      </c>
      <c r="W33" s="61">
        <v>11</v>
      </c>
      <c r="X33" s="61">
        <v>10</v>
      </c>
      <c r="Y33" s="61">
        <v>9</v>
      </c>
      <c r="Z33" s="61">
        <v>8</v>
      </c>
    </row>
    <row r="34" spans="1:26" ht="15.75" customHeight="1">
      <c r="A34" s="63" t="s">
        <v>118</v>
      </c>
      <c r="B34" s="64">
        <f t="shared" si="0"/>
        <v>9023.7658564089652</v>
      </c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1"/>
      <c r="T34" s="61"/>
      <c r="U34" s="61"/>
      <c r="V34" s="61">
        <v>13</v>
      </c>
      <c r="W34" s="61">
        <v>12</v>
      </c>
      <c r="X34" s="61">
        <v>11</v>
      </c>
      <c r="Y34" s="61">
        <v>10</v>
      </c>
      <c r="Z34" s="61">
        <v>9</v>
      </c>
    </row>
    <row r="35" spans="1:26" ht="15.75" customHeight="1">
      <c r="A35" s="63" t="s">
        <v>119</v>
      </c>
      <c r="B35" s="64">
        <f t="shared" si="0"/>
        <v>9375.6927248089141</v>
      </c>
      <c r="C35" s="61"/>
      <c r="D35" s="61"/>
      <c r="E35" s="61"/>
      <c r="F35" s="61"/>
      <c r="G35" s="61"/>
      <c r="H35" s="61"/>
      <c r="I35" s="61"/>
      <c r="J35" s="61"/>
      <c r="K35" s="62"/>
      <c r="L35" s="62"/>
      <c r="M35" s="62"/>
      <c r="N35" s="62"/>
      <c r="O35" s="62"/>
      <c r="P35" s="62"/>
      <c r="Q35" s="62"/>
      <c r="R35" s="62"/>
      <c r="S35" s="61"/>
      <c r="T35" s="61"/>
      <c r="U35" s="61"/>
      <c r="V35" s="61"/>
      <c r="W35" s="61">
        <v>13</v>
      </c>
      <c r="X35" s="61">
        <v>12</v>
      </c>
      <c r="Y35" s="61">
        <v>11</v>
      </c>
      <c r="Z35" s="61">
        <v>10</v>
      </c>
    </row>
    <row r="36" spans="1:26" ht="15.75" customHeight="1">
      <c r="A36" s="63" t="s">
        <v>120</v>
      </c>
      <c r="B36" s="64">
        <f t="shared" si="0"/>
        <v>9741.344741076462</v>
      </c>
      <c r="C36" s="61"/>
      <c r="D36" s="61"/>
      <c r="E36" s="61"/>
      <c r="F36" s="61"/>
      <c r="G36" s="61"/>
      <c r="H36" s="61"/>
      <c r="I36" s="61"/>
      <c r="J36" s="61"/>
      <c r="K36" s="62"/>
      <c r="L36" s="62"/>
      <c r="M36" s="62"/>
      <c r="N36" s="62"/>
      <c r="O36" s="62"/>
      <c r="P36" s="62"/>
      <c r="Q36" s="62"/>
      <c r="R36" s="62"/>
      <c r="S36" s="61"/>
      <c r="T36" s="61"/>
      <c r="U36" s="61"/>
      <c r="V36" s="61"/>
      <c r="W36" s="61"/>
      <c r="X36" s="61">
        <v>13</v>
      </c>
      <c r="Y36" s="61">
        <v>12</v>
      </c>
      <c r="Z36" s="61">
        <v>11</v>
      </c>
    </row>
    <row r="37" spans="1:26" ht="15.75" customHeight="1">
      <c r="A37" s="63" t="s">
        <v>121</v>
      </c>
      <c r="B37" s="64">
        <f t="shared" si="0"/>
        <v>10121.257185978444</v>
      </c>
      <c r="C37" s="61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1"/>
      <c r="T37" s="61"/>
      <c r="U37" s="61"/>
      <c r="V37" s="61"/>
      <c r="W37" s="61"/>
      <c r="X37" s="61"/>
      <c r="Y37" s="61">
        <v>13</v>
      </c>
      <c r="Z37" s="61">
        <v>12</v>
      </c>
    </row>
    <row r="38" spans="1:26" ht="15.75" customHeight="1">
      <c r="A38" s="63" t="s">
        <v>122</v>
      </c>
      <c r="B38" s="64">
        <f t="shared" si="0"/>
        <v>10515.986216231604</v>
      </c>
      <c r="C38" s="61"/>
      <c r="D38" s="61"/>
      <c r="E38" s="61"/>
      <c r="F38" s="61"/>
      <c r="G38" s="61"/>
      <c r="H38" s="61"/>
      <c r="I38" s="61"/>
      <c r="J38" s="61"/>
      <c r="K38" s="62"/>
      <c r="L38" s="62"/>
      <c r="M38" s="62"/>
      <c r="N38" s="62"/>
      <c r="O38" s="62"/>
      <c r="P38" s="62"/>
      <c r="Q38" s="62"/>
      <c r="R38" s="62"/>
      <c r="S38" s="61"/>
      <c r="T38" s="61"/>
      <c r="U38" s="61"/>
      <c r="V38" s="61"/>
      <c r="W38" s="61"/>
      <c r="X38" s="61"/>
      <c r="Y38" s="61"/>
      <c r="Z38" s="61">
        <v>13</v>
      </c>
    </row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D30:AG30"/>
    <mergeCell ref="AD25:AG25"/>
    <mergeCell ref="AD26:AG26"/>
    <mergeCell ref="AD27:AG27"/>
    <mergeCell ref="AD28:AG28"/>
    <mergeCell ref="AD29:AG29"/>
    <mergeCell ref="AD20:AG20"/>
    <mergeCell ref="AD21:AG21"/>
    <mergeCell ref="AD22:AG22"/>
    <mergeCell ref="AD23:AG23"/>
    <mergeCell ref="AD24:AG24"/>
    <mergeCell ref="AB12:AG13"/>
    <mergeCell ref="AB14:AG14"/>
    <mergeCell ref="AB15:AG16"/>
    <mergeCell ref="AB3:AF3"/>
    <mergeCell ref="AI3:AI4"/>
    <mergeCell ref="AB8:AG8"/>
    <mergeCell ref="AB9:AE10"/>
    <mergeCell ref="AF9:AG10"/>
    <mergeCell ref="AB11:AG11"/>
    <mergeCell ref="AB1:AF1"/>
    <mergeCell ref="AB2:AF2"/>
    <mergeCell ref="A1:A2"/>
    <mergeCell ref="B1:B2"/>
    <mergeCell ref="C1:J1"/>
    <mergeCell ref="K1:R1"/>
    <mergeCell ref="S1:Z1"/>
  </mergeCells>
  <conditionalFormatting sqref="AG6">
    <cfRule type="cellIs" dxfId="0" priority="1" operator="lessThan">
      <formula>"0%"</formula>
    </cfRule>
  </conditionalFormatting>
  <dataValidations count="1">
    <dataValidation type="list" allowBlank="1" showErrorMessage="1" sqref="AI7" xr:uid="{00000000-0002-0000-0900-000000000000}">
      <formula1>"Sim,Não"</formula1>
    </dataValidation>
  </dataValidation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T17" sqref="T17"/>
    </sheetView>
  </sheetViews>
  <sheetFormatPr defaultColWidth="14.42578125" defaultRowHeight="15" customHeight="1"/>
  <cols>
    <col min="1" max="6" width="9.140625" customWidth="1"/>
    <col min="7" max="7" width="12.85546875" customWidth="1"/>
    <col min="8" max="8" width="9.140625" customWidth="1"/>
    <col min="9" max="9" width="6.7109375" customWidth="1"/>
    <col min="10" max="10" width="0.28515625" customWidth="1"/>
    <col min="11" max="11" width="9.140625" customWidth="1"/>
    <col min="12" max="12" width="19.140625" customWidth="1"/>
    <col min="13" max="13" width="14.42578125" customWidth="1"/>
    <col min="14" max="16" width="15.42578125" customWidth="1"/>
    <col min="17" max="17" width="9.140625" customWidth="1"/>
    <col min="18" max="19" width="16.5703125" customWidth="1"/>
    <col min="20" max="22" width="17.7109375" customWidth="1"/>
    <col min="23" max="26" width="9.140625" customWidth="1"/>
  </cols>
  <sheetData>
    <row r="1" spans="1:22" ht="30">
      <c r="A1" s="20" t="s">
        <v>22</v>
      </c>
      <c r="B1" s="20" t="s">
        <v>23</v>
      </c>
      <c r="C1" s="20" t="s">
        <v>24</v>
      </c>
      <c r="D1" s="20" t="s">
        <v>25</v>
      </c>
      <c r="E1" s="20" t="s">
        <v>26</v>
      </c>
      <c r="F1" s="20" t="s">
        <v>27</v>
      </c>
      <c r="G1" s="20" t="s">
        <v>28</v>
      </c>
      <c r="I1" s="1" t="s">
        <v>29</v>
      </c>
      <c r="L1" s="21" t="s">
        <v>7</v>
      </c>
      <c r="M1" s="21" t="s">
        <v>8</v>
      </c>
      <c r="N1" s="21" t="s">
        <v>9</v>
      </c>
      <c r="O1" s="21" t="s">
        <v>10</v>
      </c>
      <c r="P1" s="21" t="s">
        <v>11</v>
      </c>
      <c r="R1" s="21" t="s">
        <v>7</v>
      </c>
      <c r="S1" s="21" t="s">
        <v>8</v>
      </c>
      <c r="T1" s="21" t="s">
        <v>9</v>
      </c>
      <c r="U1" s="21" t="s">
        <v>10</v>
      </c>
      <c r="V1" s="21" t="s">
        <v>11</v>
      </c>
    </row>
    <row r="2" spans="1:22">
      <c r="A2" s="22" t="s">
        <v>30</v>
      </c>
      <c r="B2" s="23">
        <v>0</v>
      </c>
      <c r="C2" s="23">
        <v>0</v>
      </c>
      <c r="D2" s="23">
        <v>0</v>
      </c>
      <c r="E2" s="23">
        <v>0</v>
      </c>
      <c r="F2" s="23">
        <v>0</v>
      </c>
      <c r="G2" s="20"/>
      <c r="I2" s="24">
        <f>(Fasubra!F4-'Efeito Step'!J2)/'Efeito Step'!J2</f>
        <v>0.1</v>
      </c>
      <c r="J2" s="19">
        <v>4556.92</v>
      </c>
      <c r="K2" s="25">
        <v>1</v>
      </c>
      <c r="L2" s="8">
        <f>(((Fasubra!B4-'Matriz Atual'!C3)/'Matriz Atual'!C3)*'Matriz Atual'!C3)*B2</f>
        <v>0</v>
      </c>
      <c r="M2" s="8">
        <f>(((Fasubra!B4-'Matriz Atual'!C8)/'Matriz Atual'!C8)*'Matriz Atual'!C8)*(C7)</f>
        <v>0</v>
      </c>
      <c r="N2" s="8">
        <f>(((Fasubra!D4-'Matriz Atual'!C13)/'Matriz Atual'!C13)*'Matriz Atual'!C13)*(D12)</f>
        <v>134890.45439999999</v>
      </c>
      <c r="O2" s="8">
        <f>(((Fasubra!D4-'Matriz Atual'!C19)/'Matriz Atual'!C19)*'Matriz Atual'!C19)*(E18)</f>
        <v>1228421.3147999996</v>
      </c>
      <c r="P2" s="8">
        <f>(((Fasubra!F4-'Matriz Atual'!C33)/'Matriz Atual'!C33)*'Matriz Atual'!C33)*(F32)</f>
        <v>1008902.088</v>
      </c>
      <c r="R2" s="8">
        <f>B2*'Matriz Atual'!C3</f>
        <v>0</v>
      </c>
      <c r="S2" s="8">
        <f>C7*'Matriz Atual'!C8</f>
        <v>0</v>
      </c>
      <c r="T2" s="8">
        <f>D12*'Matriz Atual'!C13</f>
        <v>322259.76</v>
      </c>
      <c r="U2" s="8">
        <f>E18*'Matriz Atual'!C19</f>
        <v>9625888.7100000009</v>
      </c>
      <c r="V2" s="8">
        <f>F32*'Matriz Atual'!C33</f>
        <v>10089020.880000001</v>
      </c>
    </row>
    <row r="3" spans="1:22">
      <c r="A3" s="20" t="s">
        <v>31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0"/>
      <c r="I3" s="24">
        <f>(Fasubra!F5-'Efeito Step'!J3)/'Efeito Step'!J3</f>
        <v>0.1000000000000001</v>
      </c>
      <c r="J3" s="19">
        <v>4734.6398799999997</v>
      </c>
      <c r="K3" s="25">
        <v>2</v>
      </c>
      <c r="L3" s="8">
        <f>(((Fasubra!B5-'Matriz Atual'!C4)/'Matriz Atual'!C4)*'Matriz Atual'!C4)*B3</f>
        <v>0</v>
      </c>
      <c r="M3" s="8">
        <f>(((Fasubra!B5-'Matriz Atual'!C9)/'Matriz Atual'!C9)*'Matriz Atual'!C9)*(C8)</f>
        <v>527.92309440000054</v>
      </c>
      <c r="N3" s="8">
        <f>(((Fasubra!D5-'Matriz Atual'!C14)/'Matriz Atual'!C14)*'Matriz Atual'!C14)*(D13)</f>
        <v>16597.121774399995</v>
      </c>
      <c r="O3" s="8">
        <f>(((Fasubra!D5-'Matriz Atual'!C20)/'Matriz Atual'!C20)*'Matriz Atual'!C20)*(E19)</f>
        <v>102202.63071120005</v>
      </c>
      <c r="P3" s="8">
        <f>(((Fasubra!F5-'Matriz Atual'!C34)/'Matriz Atual'!C34)*'Matriz Atual'!C34)*(F33)</f>
        <v>122627.14181199996</v>
      </c>
      <c r="R3" s="8">
        <f>B3*'Matriz Atual'!C4</f>
        <v>0</v>
      </c>
      <c r="S3" s="8">
        <f>C8*'Matriz Atual'!C9</f>
        <v>3638.56</v>
      </c>
      <c r="T3" s="8">
        <f>D13*'Matriz Atual'!C14</f>
        <v>39650.400000000001</v>
      </c>
      <c r="U3" s="8">
        <f>E19*'Matriz Atual'!C20</f>
        <v>800882.58</v>
      </c>
      <c r="V3" s="8">
        <f>F33*'Matriz Atual'!C34</f>
        <v>1226271.76</v>
      </c>
    </row>
    <row r="4" spans="1:22">
      <c r="A4" s="20" t="s">
        <v>32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0"/>
      <c r="I4" s="24">
        <f>(Fasubra!F6-'Efeito Step'!J4)/'Efeito Step'!J4</f>
        <v>9.9999999999999964E-2</v>
      </c>
      <c r="J4" s="19">
        <v>4919.29083532</v>
      </c>
      <c r="K4" s="25">
        <v>3</v>
      </c>
      <c r="L4" s="8">
        <f>(((Fasubra!B6-'Matriz Atual'!C5)/'Matriz Atual'!C5)*'Matriz Atual'!C5)*B4</f>
        <v>0</v>
      </c>
      <c r="M4" s="8">
        <f>(((Fasubra!B6-'Matriz Atual'!C10)/'Matriz Atual'!C10)*'Matriz Atual'!C10)*(C9)</f>
        <v>0</v>
      </c>
      <c r="N4" s="8">
        <f>(((Fasubra!D6-'Matriz Atual'!C15)/'Matriz Atual'!C15)*'Matriz Atual'!C15)*(D14)</f>
        <v>84305.051715385591</v>
      </c>
      <c r="O4" s="8">
        <f>(((Fasubra!D6-'Matriz Atual'!C21)/'Matriz Atual'!C21)*'Matriz Atual'!C21)*(E20)</f>
        <v>640083.87918410997</v>
      </c>
      <c r="P4" s="8">
        <f>(((Fasubra!F6-'Matriz Atual'!C35)/'Matriz Atual'!C35)*'Matriz Atual'!C35)*(F34)</f>
        <v>532257.35219786363</v>
      </c>
      <c r="R4" s="8">
        <f>B4*'Matriz Atual'!C5</f>
        <v>0</v>
      </c>
      <c r="S4" s="8">
        <f>C9*'Matriz Atual'!C10</f>
        <v>0</v>
      </c>
      <c r="T4" s="8">
        <f>D14*'Matriz Atual'!C15</f>
        <v>201407.35999999999</v>
      </c>
      <c r="U4" s="8">
        <f>E20*'Matriz Atual'!C21</f>
        <v>5015723.18</v>
      </c>
      <c r="V4" s="8">
        <f>F34*'Matriz Atual'!C35</f>
        <v>5322682.6000000006</v>
      </c>
    </row>
    <row r="5" spans="1:22">
      <c r="A5" s="20" t="s">
        <v>33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0"/>
      <c r="I5" s="24">
        <f>(Fasubra!F7-'Efeito Step'!J5)/'Efeito Step'!J5</f>
        <v>9.9999999999999895E-2</v>
      </c>
      <c r="J5" s="19">
        <v>5111.1431778974802</v>
      </c>
      <c r="K5" s="26">
        <v>4</v>
      </c>
      <c r="L5" s="8">
        <f>(((Fasubra!B7-'Matriz Atual'!C6)/'Matriz Atual'!C6)*'Matriz Atual'!C6)*B5</f>
        <v>0</v>
      </c>
      <c r="M5" s="8">
        <f>(((Fasubra!B7-'Matriz Atual'!C11)/'Matriz Atual'!C11)*'Matriz Atual'!C11)*(C10)</f>
        <v>284.95299827489112</v>
      </c>
      <c r="N5" s="8">
        <f>(((Fasubra!D7-'Matriz Atual'!C16)/'Matriz Atual'!C16)*'Matriz Atual'!C16)*(D15)</f>
        <v>88588.330269697952</v>
      </c>
      <c r="O5" s="8">
        <f>(((Fasubra!D7-'Matriz Atual'!C22)/'Matriz Atual'!C22)*'Matriz Atual'!C22)*(E21)</f>
        <v>292821.03951526218</v>
      </c>
      <c r="P5" s="8">
        <f>(((Fasubra!F7-'Matriz Atual'!C36)/'Matriz Atual'!C36)*'Matriz Atual'!C36)*(F35)</f>
        <v>323531.04477001535</v>
      </c>
      <c r="R5" s="8">
        <f>B5*'Matriz Atual'!C6</f>
        <v>0</v>
      </c>
      <c r="S5" s="8">
        <f>C10*'Matriz Atual'!C11</f>
        <v>1963.95</v>
      </c>
      <c r="T5" s="8">
        <f>D15*'Matriz Atual'!C16</f>
        <v>211640.22</v>
      </c>
      <c r="U5" s="8">
        <f>E21*'Matriz Atual'!C22</f>
        <v>2294541.86</v>
      </c>
      <c r="V5" s="8">
        <f>F35*'Matriz Atual'!C36</f>
        <v>3235357.9499999997</v>
      </c>
    </row>
    <row r="6" spans="1:22">
      <c r="A6" s="20" t="s">
        <v>34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0"/>
      <c r="I6" s="24">
        <f>(Fasubra!F8-'Efeito Step'!J6)/'Efeito Step'!J6</f>
        <v>0.1000000000000002</v>
      </c>
      <c r="J6" s="19">
        <v>5310.4777618354801</v>
      </c>
      <c r="K6" s="26">
        <v>5</v>
      </c>
      <c r="L6" s="8">
        <f>(((Fasubra!B8-'Matriz Atual'!C7)/'Matriz Atual'!C7)*'Matriz Atual'!C7)*B6</f>
        <v>0</v>
      </c>
      <c r="M6" s="8">
        <f>(((Fasubra!B8-'Matriz Atual'!C12)/'Matriz Atual'!C12)*'Matriz Atual'!C12)*(C11)</f>
        <v>0</v>
      </c>
      <c r="N6" s="8">
        <f>(((Fasubra!D8-'Matriz Atual'!C17)/'Matriz Atual'!C17)*'Matriz Atual'!C17)*(D16)</f>
        <v>269927.58925377991</v>
      </c>
      <c r="O6" s="8">
        <f>(((Fasubra!D8-'Matriz Atual'!C23)/'Matriz Atual'!C23)*'Matriz Atual'!C23)*(E22)</f>
        <v>1189995.9684342521</v>
      </c>
      <c r="P6" s="8">
        <f>(((Fasubra!F8-'Matriz Atual'!C37)/'Matriz Atual'!C37)*'Matriz Atual'!C37)*(F36)</f>
        <v>1170955.4113319605</v>
      </c>
      <c r="R6" s="8">
        <f>B6*'Matriz Atual'!C7</f>
        <v>0</v>
      </c>
      <c r="S6" s="8">
        <f>C11*'Matriz Atual'!C12</f>
        <v>0</v>
      </c>
      <c r="T6" s="8">
        <f>D16*'Matriz Atual'!C17</f>
        <v>644855.31000000006</v>
      </c>
      <c r="U6" s="8">
        <f>E22*'Matriz Atual'!C23</f>
        <v>9324750</v>
      </c>
      <c r="V6" s="8">
        <f>F36*'Matriz Atual'!C37</f>
        <v>11709608.399999999</v>
      </c>
    </row>
    <row r="7" spans="1:22">
      <c r="A7" s="22" t="s">
        <v>35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0"/>
      <c r="I7" s="24">
        <f>(Fasubra!F9-'Efeito Step'!J7)/'Efeito Step'!J7</f>
        <v>9.9999999999999006E-2</v>
      </c>
      <c r="J7" s="19">
        <v>5517.5863945470701</v>
      </c>
      <c r="K7" s="26">
        <v>6</v>
      </c>
      <c r="L7" s="8">
        <f>(((Fasubra!B9-'Matriz Atual'!C8)/'Matriz Atual'!C8)*'Matriz Atual'!C8)*B7</f>
        <v>0</v>
      </c>
      <c r="M7" s="8">
        <f>(((Fasubra!B9-'Matriz Atual'!C13)/'Matriz Atual'!C13)*'Matriz Atual'!C13)*(C12)</f>
        <v>1230.4320544028342</v>
      </c>
      <c r="N7" s="8">
        <f>(((Fasubra!D9-'Matriz Atual'!C18)/'Matriz Atual'!C18)*'Matriz Atual'!C18)*(D17)</f>
        <v>385755.20032398164</v>
      </c>
      <c r="O7" s="8">
        <f>(((Fasubra!D9-'Matriz Atual'!C24)/'Matriz Atual'!C24)*'Matriz Atual'!C24)*(E23)</f>
        <v>600895.77574475016</v>
      </c>
      <c r="P7" s="8">
        <f>(((Fasubra!F9-'Matriz Atual'!C38)/'Matriz Atual'!C38)*'Matriz Atual'!C38)*(F37)</f>
        <v>601964.74209593271</v>
      </c>
      <c r="R7" s="8">
        <f>B7*'Matriz Atual'!C8</f>
        <v>0</v>
      </c>
      <c r="S7" s="8">
        <f>C12*'Matriz Atual'!C13</f>
        <v>8480.52</v>
      </c>
      <c r="T7" s="8">
        <f>D17*'Matriz Atual'!C18</f>
        <v>921581.72</v>
      </c>
      <c r="U7" s="8">
        <f>E23*'Matriz Atual'!C24</f>
        <v>4708567.26</v>
      </c>
      <c r="V7" s="8">
        <f>F37*'Matriz Atual'!C38</f>
        <v>6019690.6900000004</v>
      </c>
    </row>
    <row r="8" spans="1:22">
      <c r="A8" s="20" t="s">
        <v>36</v>
      </c>
      <c r="B8" s="23">
        <v>0</v>
      </c>
      <c r="C8" s="23">
        <v>2</v>
      </c>
      <c r="D8" s="23">
        <v>0</v>
      </c>
      <c r="E8" s="23">
        <v>0</v>
      </c>
      <c r="F8" s="23">
        <v>0</v>
      </c>
      <c r="G8" s="20"/>
      <c r="I8" s="24">
        <f>(Fasubra!F10-'Efeito Step'!J8)/'Efeito Step'!J8</f>
        <v>0.10000000000000005</v>
      </c>
      <c r="J8" s="19">
        <v>5732.7722639344001</v>
      </c>
      <c r="K8" s="26">
        <v>7</v>
      </c>
      <c r="L8" s="8">
        <f>(((Fasubra!B10-'Matriz Atual'!C9)/'Matriz Atual'!C9)*'Matriz Atual'!C9)*B8</f>
        <v>0</v>
      </c>
      <c r="M8" s="8">
        <f>(((Fasubra!B10-'Matriz Atual'!C14)/'Matriz Atual'!C14)*'Matriz Atual'!C14)*(C13)</f>
        <v>639.23959226227271</v>
      </c>
      <c r="N8" s="8">
        <f>(((Fasubra!D10-'Matriz Atual'!C19)/'Matriz Atual'!C19)*'Matriz Atual'!C19)*(D18)</f>
        <v>1145467.1262458181</v>
      </c>
      <c r="O8" s="8">
        <f>(((Fasubra!D10-'Matriz Atual'!C25)/'Matriz Atual'!C25)*'Matriz Atual'!C25)*(E24)</f>
        <v>1775357.392139534</v>
      </c>
      <c r="P8" s="8">
        <f>(((Fasubra!F10-'Matriz Atual'!C39)/'Matriz Atual'!C39)*'Matriz Atual'!C39)*(F38)</f>
        <v>1714649.0455705714</v>
      </c>
      <c r="R8" s="8">
        <f>B8*'Matriz Atual'!C9</f>
        <v>0</v>
      </c>
      <c r="S8" s="8">
        <f>C13*'Matriz Atual'!C14</f>
        <v>4405.6000000000004</v>
      </c>
      <c r="T8" s="8">
        <f>D18*'Matriz Atual'!C19</f>
        <v>2736536.94</v>
      </c>
      <c r="U8" s="8">
        <f>E24*'Matriz Atual'!C25</f>
        <v>13911571.32</v>
      </c>
      <c r="V8" s="8">
        <f>F38*'Matriz Atual'!C39</f>
        <v>17146744.98</v>
      </c>
    </row>
    <row r="9" spans="1:22">
      <c r="A9" s="20" t="s">
        <v>37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0"/>
      <c r="I9" s="24">
        <f>(Fasubra!F11-'Efeito Step'!J9)/'Efeito Step'!J9</f>
        <v>0.10000000000000042</v>
      </c>
      <c r="J9" s="19">
        <v>5956.3503822278399</v>
      </c>
      <c r="K9" s="26">
        <v>8</v>
      </c>
      <c r="L9" s="8">
        <f>(((Fasubra!B11-'Matriz Atual'!C10)/'Matriz Atual'!C10)*'Matriz Atual'!C10)*B9</f>
        <v>0</v>
      </c>
      <c r="M9" s="8">
        <f>(((Fasubra!B11-'Matriz Atual'!C15)/'Matriz Atual'!C15)*'Matriz Atual'!C15)*(C14)</f>
        <v>1992.4450090815062</v>
      </c>
      <c r="N9" s="8">
        <f>(((Fasubra!D11-'Matriz Atual'!C20)/'Matriz Atual'!C20)*'Matriz Atual'!C20)*(D19)</f>
        <v>1755036.5046850785</v>
      </c>
      <c r="O9" s="8">
        <f>(((Fasubra!D11-'Matriz Atual'!C26)/'Matriz Atual'!C26)*'Matriz Atual'!C26)*(E25)</f>
        <v>2386450.3171782945</v>
      </c>
      <c r="P9" s="8">
        <f>(((Fasubra!F11-'Matriz Atual'!C40)/'Matriz Atual'!C40)*'Matriz Atual'!C40)*(F39)</f>
        <v>2165098.4033380281</v>
      </c>
      <c r="R9" s="8">
        <f>B9*'Matriz Atual'!C10</f>
        <v>0</v>
      </c>
      <c r="S9" s="8">
        <f>C14*'Matriz Atual'!C15</f>
        <v>13732.32</v>
      </c>
      <c r="T9" s="8">
        <f>D19*'Matriz Atual'!C20</f>
        <v>4192855.86</v>
      </c>
      <c r="U9" s="8">
        <f>E25*'Matriz Atual'!C26</f>
        <v>18700459.559999999</v>
      </c>
      <c r="V9" s="8">
        <f>F39*'Matriz Atual'!C40</f>
        <v>21651368.599999998</v>
      </c>
    </row>
    <row r="10" spans="1:22">
      <c r="A10" s="20" t="s">
        <v>38</v>
      </c>
      <c r="B10" s="23">
        <v>1</v>
      </c>
      <c r="C10" s="23">
        <v>1</v>
      </c>
      <c r="D10" s="23">
        <v>0</v>
      </c>
      <c r="E10" s="23">
        <v>0</v>
      </c>
      <c r="F10" s="23">
        <v>0</v>
      </c>
      <c r="G10" s="20"/>
      <c r="I10" s="24">
        <f>(Fasubra!F12-'Efeito Step'!J10)/'Efeito Step'!J10</f>
        <v>9.9999999999999548E-2</v>
      </c>
      <c r="J10" s="19">
        <v>6188.6480471347304</v>
      </c>
      <c r="K10" s="26">
        <v>9</v>
      </c>
      <c r="L10" s="8">
        <f>(((Fasubra!B12-'Matriz Atual'!C11)/'Matriz Atual'!C11)*'Matriz Atual'!C11)*B10</f>
        <v>759.0551407392802</v>
      </c>
      <c r="M10" s="8">
        <f>(((Fasubra!B12-'Matriz Atual'!C16)/'Matriz Atual'!C16)*'Matriz Atual'!C16)*(C15)</f>
        <v>1725.1257036964014</v>
      </c>
      <c r="N10" s="8">
        <f>(((Fasubra!D12-'Matriz Atual'!C21)/'Matriz Atual'!C21)*'Matriz Atual'!C21)*(D20)</f>
        <v>2153724.0497516408</v>
      </c>
      <c r="O10" s="8">
        <f>(((Fasubra!D12-'Matriz Atual'!C27)/'Matriz Atual'!C27)*'Matriz Atual'!C27)*(E26)</f>
        <v>3442820.9523392376</v>
      </c>
      <c r="P10" s="8">
        <f>(((Fasubra!F12-'Matriz Atual'!C41)/'Matriz Atual'!C41)*'Matriz Atual'!C41)*(F40)</f>
        <v>3168577.8014627891</v>
      </c>
      <c r="R10" s="8">
        <f>B10*'Matriz Atual'!C11</f>
        <v>1963.95</v>
      </c>
      <c r="S10" s="8">
        <f>C15*'Matriz Atual'!C16</f>
        <v>11889.9</v>
      </c>
      <c r="T10" s="8">
        <f>D20*'Matriz Atual'!C21</f>
        <v>5145291.2299999995</v>
      </c>
      <c r="U10" s="8">
        <f>E26*'Matriz Atual'!C27</f>
        <v>26978592.48</v>
      </c>
      <c r="V10" s="8">
        <f>F40*'Matriz Atual'!C41</f>
        <v>31685888</v>
      </c>
    </row>
    <row r="11" spans="1:22">
      <c r="A11" s="20" t="s">
        <v>39</v>
      </c>
      <c r="B11" s="23">
        <v>4</v>
      </c>
      <c r="C11" s="23">
        <v>0</v>
      </c>
      <c r="D11" s="23">
        <v>0</v>
      </c>
      <c r="E11" s="23">
        <v>0</v>
      </c>
      <c r="F11" s="23">
        <v>0</v>
      </c>
      <c r="G11" s="20"/>
      <c r="I11" s="24">
        <f>(Fasubra!F13-'Efeito Step'!J11)/'Efeito Step'!J11</f>
        <v>0.10000000000000038</v>
      </c>
      <c r="J11" s="19">
        <v>6430.0053209729804</v>
      </c>
      <c r="K11" s="25">
        <v>10</v>
      </c>
      <c r="L11" s="8">
        <f>(((Fasubra!B13-'Matriz Atual'!C12)/'Matriz Atual'!C12)*'Matriz Atual'!C12)*B11</f>
        <v>3154.6093649124496</v>
      </c>
      <c r="M11" s="8">
        <f>(((Fasubra!B13-'Matriz Atual'!C17)/'Matriz Atual'!C17)*'Matriz Atual'!C17)*(C16)</f>
        <v>9320.80087193092</v>
      </c>
      <c r="N11" s="8">
        <f>(((Fasubra!D13-'Matriz Atual'!C22)/'Matriz Atual'!C22)*'Matriz Atual'!C22)*(D21)</f>
        <v>1748104.0225316673</v>
      </c>
      <c r="O11" s="8">
        <f>(((Fasubra!D13-'Matriz Atual'!C28)/'Matriz Atual'!C28)*'Matriz Atual'!C28)*(E27)</f>
        <v>2653566.4029279812</v>
      </c>
      <c r="P11" s="8">
        <f>(((Fasubra!F13-'Matriz Atual'!C42)/'Matriz Atual'!C42)*'Matriz Atual'!C42)*(F41)</f>
        <v>2874834.4590772246</v>
      </c>
      <c r="R11" s="8">
        <f>B11*'Matriz Atual'!C12</f>
        <v>8162.2</v>
      </c>
      <c r="S11" s="8">
        <f>C16*'Matriz Atual'!C17</f>
        <v>64238.46</v>
      </c>
      <c r="T11" s="8">
        <f>D21*'Matriz Atual'!C22</f>
        <v>4176245.6799999997</v>
      </c>
      <c r="U11" s="8">
        <f>E27*'Matriz Atual'!C28</f>
        <v>20793448</v>
      </c>
      <c r="V11" s="8">
        <f>F41*'Matriz Atual'!C42</f>
        <v>28748574.710000001</v>
      </c>
    </row>
    <row r="12" spans="1:22">
      <c r="A12" s="22" t="s">
        <v>40</v>
      </c>
      <c r="B12" s="23">
        <v>2</v>
      </c>
      <c r="C12" s="23">
        <v>4</v>
      </c>
      <c r="D12" s="23">
        <v>152</v>
      </c>
      <c r="E12" s="23">
        <v>0</v>
      </c>
      <c r="F12" s="23">
        <v>0</v>
      </c>
      <c r="G12" s="20"/>
      <c r="I12" s="24">
        <f>(Fasubra!F14-'Efeito Step'!J12)/'Efeito Step'!J12</f>
        <v>9.9999999999999881E-2</v>
      </c>
      <c r="J12" s="19">
        <v>6680.7755284909299</v>
      </c>
      <c r="K12" s="25">
        <v>11</v>
      </c>
      <c r="L12" s="8">
        <f>(((Fasubra!B14-'Matriz Atual'!C13)/'Matriz Atual'!C13)*'Matriz Atual'!C13)*B12</f>
        <v>1638.8224650720176</v>
      </c>
      <c r="M12" s="8">
        <f>(((Fasubra!B14-'Matriz Atual'!C18)/'Matriz Atual'!C18)*'Matriz Atual'!C18)*(C17)</f>
        <v>9311.5308134002244</v>
      </c>
      <c r="N12" s="8">
        <f>(((Fasubra!D14-'Matriz Atual'!C23)/'Matriz Atual'!C23)*'Matriz Atual'!C23)*(D22)</f>
        <v>1297158.6632576007</v>
      </c>
      <c r="O12" s="8">
        <f>(((Fasubra!D14-'Matriz Atual'!C29)/'Matriz Atual'!C29)*'Matriz Atual'!C29)*(E28)</f>
        <v>2446655.0946860733</v>
      </c>
      <c r="P12" s="8">
        <f>(((Fasubra!F14-'Matriz Atual'!C43)/'Matriz Atual'!C43)*'Matriz Atual'!C43)*(F42)</f>
        <v>2312200.9345178171</v>
      </c>
      <c r="R12" s="8">
        <f>B12*'Matriz Atual'!C13</f>
        <v>4240.26</v>
      </c>
      <c r="S12" s="8">
        <f>C17*'Matriz Atual'!C18</f>
        <v>64177</v>
      </c>
      <c r="T12" s="8">
        <f>D22*'Matriz Atual'!C23</f>
        <v>3098925.25</v>
      </c>
      <c r="U12" s="8">
        <f>E28*'Matriz Atual'!C29</f>
        <v>19172200.900000002</v>
      </c>
      <c r="V12" s="8">
        <f>F42*'Matriz Atual'!C43</f>
        <v>23122179.579999998</v>
      </c>
    </row>
    <row r="13" spans="1:22">
      <c r="A13" s="20" t="s">
        <v>41</v>
      </c>
      <c r="B13" s="23">
        <v>6</v>
      </c>
      <c r="C13" s="23">
        <v>2</v>
      </c>
      <c r="D13" s="23">
        <v>18</v>
      </c>
      <c r="E13" s="23">
        <v>0</v>
      </c>
      <c r="F13" s="23">
        <v>0</v>
      </c>
      <c r="G13" s="20"/>
      <c r="I13" s="24">
        <f>(Fasubra!F15-'Efeito Step'!J13)/'Efeito Step'!J13</f>
        <v>9.9999999999999326E-2</v>
      </c>
      <c r="J13" s="19">
        <v>6941.3257741020798</v>
      </c>
      <c r="K13" s="25">
        <v>12</v>
      </c>
      <c r="L13" s="8">
        <f>(((Fasubra!B15-'Matriz Atual'!C14)/'Matriz Atual'!C14)*'Matriz Atual'!C14)*B13</f>
        <v>5108.3000436294806</v>
      </c>
      <c r="M13" s="8">
        <f>(((Fasubra!B15-'Matriz Atual'!C19)/'Matriz Atual'!C19)*'Matriz Atual'!C19)*(C18)</f>
        <v>17414.700327221111</v>
      </c>
      <c r="N13" s="8">
        <f>(((Fasubra!D15-'Matriz Atual'!C24)/'Matriz Atual'!C24)*'Matriz Atual'!C24)*(D23)</f>
        <v>944911.70262425137</v>
      </c>
      <c r="O13" s="8">
        <f>(((Fasubra!D15-'Matriz Atual'!C30)/'Matriz Atual'!C30)*'Matriz Atual'!C30)*(E29)</f>
        <v>2737548.0575909102</v>
      </c>
      <c r="P13" s="8">
        <f>(((Fasubra!F15-'Matriz Atual'!C44)/'Matriz Atual'!C44)*'Matriz Atual'!C44)*(F43)</f>
        <v>3554580.0780944009</v>
      </c>
      <c r="R13" s="8">
        <f>B13*'Matriz Atual'!C14</f>
        <v>13216.800000000001</v>
      </c>
      <c r="S13" s="8">
        <f>C18*'Matriz Atual'!C19</f>
        <v>120023.55</v>
      </c>
      <c r="T13" s="8">
        <f>D23*'Matriz Atual'!C24</f>
        <v>2257399.5299999998</v>
      </c>
      <c r="U13" s="8">
        <f>E29*'Matriz Atual'!C30</f>
        <v>21451584</v>
      </c>
      <c r="V13" s="8">
        <f>F43*'Matriz Atual'!C44</f>
        <v>35546602.140000001</v>
      </c>
    </row>
    <row r="14" spans="1:22">
      <c r="A14" s="20" t="s">
        <v>42</v>
      </c>
      <c r="B14" s="23">
        <v>2</v>
      </c>
      <c r="C14" s="23">
        <v>6</v>
      </c>
      <c r="D14" s="23">
        <v>88</v>
      </c>
      <c r="E14" s="23">
        <v>0</v>
      </c>
      <c r="F14" s="23">
        <v>0</v>
      </c>
      <c r="G14" s="20"/>
      <c r="I14" s="24">
        <f>(Fasubra!F16-'Efeito Step'!J14)/'Efeito Step'!J14</f>
        <v>9.9999999999999464E-2</v>
      </c>
      <c r="J14" s="19">
        <v>7212.0374792920602</v>
      </c>
      <c r="K14" s="26">
        <v>13</v>
      </c>
      <c r="L14" s="8">
        <f>(((Fasubra!B16-'Matriz Atual'!C15)/'Matriz Atual'!C15)*'Matriz Atual'!C15)*B14</f>
        <v>1769.1529817770106</v>
      </c>
      <c r="M14" s="8">
        <f>(((Fasubra!B16-'Matriz Atual'!C20)/'Matriz Atual'!C20)*'Matriz Atual'!C20)*(C19)</f>
        <v>4020.764908885053</v>
      </c>
      <c r="N14" s="8">
        <f>(((Fasubra!D16-'Matriz Atual'!C25)/'Matriz Atual'!C25)*'Matriz Atual'!C25)*(D24)</f>
        <v>396075.97564583749</v>
      </c>
      <c r="O14" s="8">
        <f>(((Fasubra!D16-'Matriz Atual'!C31)/'Matriz Atual'!C31)*'Matriz Atual'!C31)*(E30)</f>
        <v>2004520.3238941904</v>
      </c>
      <c r="P14" s="8">
        <f>(((Fasubra!F16-'Matriz Atual'!C45)/'Matriz Atual'!C45)*'Matriz Atual'!C45)*(F44)</f>
        <v>2684994.9389447588</v>
      </c>
      <c r="R14" s="8">
        <f>B14*'Matriz Atual'!C15</f>
        <v>4577.4399999999996</v>
      </c>
      <c r="S14" s="8">
        <f>C19*'Matriz Atual'!C20</f>
        <v>27712.199999999997</v>
      </c>
      <c r="T14" s="8">
        <f>D24*'Matriz Atual'!C25</f>
        <v>946228.44000000006</v>
      </c>
      <c r="U14" s="8">
        <f>E30*'Matriz Atual'!C31</f>
        <v>15707234.039999999</v>
      </c>
      <c r="V14" s="8">
        <f>F44*'Matriz Atual'!C45</f>
        <v>26850462.150000002</v>
      </c>
    </row>
    <row r="15" spans="1:22">
      <c r="A15" s="20" t="s">
        <v>43</v>
      </c>
      <c r="B15" s="23">
        <v>6</v>
      </c>
      <c r="C15" s="23">
        <v>5</v>
      </c>
      <c r="D15" s="23">
        <v>89</v>
      </c>
      <c r="E15" s="23">
        <v>0</v>
      </c>
      <c r="F15" s="23">
        <v>0</v>
      </c>
      <c r="G15" s="20"/>
      <c r="I15" s="24">
        <f>(Fasubra!F17-'Efeito Step'!J15)/'Efeito Step'!J15</f>
        <v>9.9999999999999617E-2</v>
      </c>
      <c r="J15" s="19">
        <v>7493.3069409844502</v>
      </c>
      <c r="K15" s="26">
        <v>14</v>
      </c>
      <c r="L15" s="8">
        <f>(((Fasubra!B17-'Matriz Atual'!C16)/'Matriz Atual'!C16)*'Matriz Atual'!C16)*B15</f>
        <v>5514.4503241989423</v>
      </c>
      <c r="M15" s="8">
        <f>(((Fasubra!B17-'Matriz Atual'!C21)/'Matriz Atual'!C21)*'Matriz Atual'!C21)*(C20)</f>
        <v>3759.8854862984131</v>
      </c>
      <c r="N15" s="8">
        <f>(((Fasubra!D17-'Matriz Atual'!C26)/'Matriz Atual'!C26)*'Matriz Atual'!C26)*(D25)</f>
        <v>462595.7481927661</v>
      </c>
      <c r="O15" s="8">
        <f>(((Fasubra!D17-'Matriz Atual'!C32)/'Matriz Atual'!C32)*'Matriz Atual'!C32)*(E31)</f>
        <v>933583.90519095841</v>
      </c>
      <c r="P15" s="8">
        <f>(((Fasubra!F17-'Matriz Atual'!C46)/'Matriz Atual'!C46)*'Matriz Atual'!C46)*(F45)</f>
        <v>1330805.8799072159</v>
      </c>
      <c r="R15" s="8">
        <f>B15*'Matriz Atual'!C16</f>
        <v>14267.880000000001</v>
      </c>
      <c r="S15" s="8">
        <f>C20*'Matriz Atual'!C21</f>
        <v>25913.61</v>
      </c>
      <c r="T15" s="8">
        <f>D25*'Matriz Atual'!C26</f>
        <v>1105153.93</v>
      </c>
      <c r="U15" s="8">
        <f>E31*'Matriz Atual'!C32</f>
        <v>7315647.8399999999</v>
      </c>
      <c r="V15" s="8">
        <f>F45*'Matriz Atual'!C46</f>
        <v>13308118.560000001</v>
      </c>
    </row>
    <row r="16" spans="1:22">
      <c r="A16" s="20" t="s">
        <v>44</v>
      </c>
      <c r="B16" s="23">
        <v>13</v>
      </c>
      <c r="C16" s="23">
        <v>26</v>
      </c>
      <c r="D16" s="23">
        <v>261</v>
      </c>
      <c r="E16" s="23">
        <v>0</v>
      </c>
      <c r="F16" s="23">
        <v>0</v>
      </c>
      <c r="G16" s="20"/>
      <c r="I16" s="24">
        <f>(Fasubra!F18-'Efeito Step'!J16)/'Efeito Step'!J16</f>
        <v>0.1000000000000001</v>
      </c>
      <c r="J16" s="19">
        <v>7785.5459116828397</v>
      </c>
      <c r="K16" s="26">
        <v>15</v>
      </c>
      <c r="L16" s="8">
        <f>(((Fasubra!B18-'Matriz Atual'!C17)/'Matriz Atual'!C17)*'Matriz Atual'!C17)*B16</f>
        <v>12414.092614825848</v>
      </c>
      <c r="M16" s="8">
        <f>(((Fasubra!B18-'Matriz Atual'!C22)/'Matriz Atual'!C22)*'Matriz Atual'!C22)*(C21)</f>
        <v>3038.421407983149</v>
      </c>
      <c r="N16" s="8">
        <f>(((Fasubra!D18-'Matriz Atual'!C27)/'Matriz Atual'!C27)*'Matriz Atual'!C27)*(D26)</f>
        <v>755067.75025191589</v>
      </c>
      <c r="O16" s="8">
        <f>(((Fasubra!D18-'Matriz Atual'!C33)/'Matriz Atual'!C33)*'Matriz Atual'!C33)*(E32)</f>
        <v>962449.19933116646</v>
      </c>
      <c r="P16" s="8">
        <f>(((Fasubra!F18-'Matriz Atual'!C47)/'Matriz Atual'!C47)*'Matriz Atual'!C47)*(F46)</f>
        <v>1270594.4206530349</v>
      </c>
      <c r="R16" s="8">
        <f>B16*'Matriz Atual'!C17</f>
        <v>32119.23</v>
      </c>
      <c r="S16" s="8">
        <f>C21*'Matriz Atual'!C22</f>
        <v>20941.059999999998</v>
      </c>
      <c r="T16" s="8">
        <f>D26*'Matriz Atual'!C27</f>
        <v>1803885.4800000002</v>
      </c>
      <c r="U16" s="8">
        <f>E32*'Matriz Atual'!C33</f>
        <v>7541702.6000000006</v>
      </c>
      <c r="V16" s="8">
        <f>F46*'Matriz Atual'!C47</f>
        <v>12706017.6</v>
      </c>
    </row>
    <row r="17" spans="1:22">
      <c r="A17" s="20" t="s">
        <v>45</v>
      </c>
      <c r="B17" s="23">
        <v>113</v>
      </c>
      <c r="C17" s="23">
        <v>25</v>
      </c>
      <c r="D17" s="23">
        <v>359</v>
      </c>
      <c r="E17" s="23">
        <v>0</v>
      </c>
      <c r="F17" s="23">
        <v>0</v>
      </c>
      <c r="G17" s="20"/>
      <c r="I17" s="24">
        <f>(Fasubra!F19-'Efeito Step'!J17)/'Efeito Step'!J17</f>
        <v>0.1</v>
      </c>
      <c r="J17" s="19">
        <v>8089.1822022384704</v>
      </c>
      <c r="K17" s="26">
        <v>16</v>
      </c>
      <c r="L17" s="8">
        <f>(((Fasubra!B19-'Matriz Atual'!C18)/'Matriz Atual'!C18)*'Matriz Atual'!C18)*B17</f>
        <v>112114.09909529677</v>
      </c>
      <c r="M17" s="8">
        <f>(((Fasubra!B19-'Matriz Atual'!C23)/'Matriz Atual'!C23)*'Matriz Atual'!C23)*(C22)</f>
        <v>110041.60123232221</v>
      </c>
      <c r="N17" s="8">
        <f>(((Fasubra!D19-'Matriz Atual'!C28)/'Matriz Atual'!C28)*'Matriz Atual'!C28)*(D27)</f>
        <v>2682804.4516719952</v>
      </c>
      <c r="O17" s="8">
        <f>(((Fasubra!D19-'Matriz Atual'!C34)/'Matriz Atual'!C34)*'Matriz Atual'!C34)*(E33)</f>
        <v>1668252.1198510728</v>
      </c>
      <c r="P17" s="8">
        <f>(((Fasubra!F19-'Matriz Atual'!C48)/'Matriz Atual'!C48)*'Matriz Atual'!C48)*(F47)</f>
        <v>1786861.0332192597</v>
      </c>
      <c r="R17" s="8">
        <f>B17*'Matriz Atual'!C18</f>
        <v>290080.03999999998</v>
      </c>
      <c r="S17" s="8">
        <f>C22*'Matriz Atual'!C23</f>
        <v>758413</v>
      </c>
      <c r="T17" s="8">
        <f>D27*'Matriz Atual'!C28</f>
        <v>6409274.5599999996</v>
      </c>
      <c r="U17" s="8">
        <f>E33*'Matriz Atual'!C34</f>
        <v>13072341.040000001</v>
      </c>
      <c r="V17" s="8">
        <f>F47*'Matriz Atual'!C48</f>
        <v>17869042.800000001</v>
      </c>
    </row>
    <row r="18" spans="1:22">
      <c r="A18" s="22" t="s">
        <v>46</v>
      </c>
      <c r="B18" s="23">
        <v>99</v>
      </c>
      <c r="C18" s="23">
        <v>45</v>
      </c>
      <c r="D18" s="23">
        <v>1026</v>
      </c>
      <c r="E18" s="23">
        <v>3609</v>
      </c>
      <c r="F18" s="23">
        <v>0</v>
      </c>
      <c r="G18" s="20"/>
      <c r="I18" s="24">
        <f>(Fasubra!F20-'Efeito Step'!J18)/'Efeito Step'!J18</f>
        <v>9.999999999999995E-2</v>
      </c>
      <c r="J18" s="19">
        <v>8404.6603081257708</v>
      </c>
      <c r="K18" s="26">
        <v>17</v>
      </c>
      <c r="L18" s="8">
        <f>(((Fasubra!B20-'Matriz Atual'!C19)/'Matriz Atual'!C19)*'Matriz Atual'!C19)*B18</f>
        <v>102055.19302195859</v>
      </c>
      <c r="M18" s="8">
        <f>(((Fasubra!B20-'Matriz Atual'!C24)/'Matriz Atual'!C24)*'Matriz Atual'!C24)*(C23)</f>
        <v>94184.687650643275</v>
      </c>
      <c r="N18" s="8">
        <f>(((Fasubra!D20-'Matriz Atual'!C29)/'Matriz Atual'!C29)*'Matriz Atual'!C29)*(D28)</f>
        <v>1255407.0411794272</v>
      </c>
      <c r="O18" s="8">
        <f>(((Fasubra!D20-'Matriz Atual'!C35)/'Matriz Atual'!C35)*'Matriz Atual'!C35)*(E34)</f>
        <v>663559.02415469941</v>
      </c>
      <c r="P18" s="8">
        <f>(((Fasubra!F20-'Matriz Atual'!C49)/'Matriz Atual'!C49)*'Matriz Atual'!C49)*(F48)</f>
        <v>692536.02328519826</v>
      </c>
      <c r="R18" s="8">
        <f>B18*'Matriz Atual'!C19</f>
        <v>264051.81</v>
      </c>
      <c r="S18" s="8">
        <f>C23*'Matriz Atual'!C24</f>
        <v>649123.47</v>
      </c>
      <c r="T18" s="8">
        <f>D28*'Matriz Atual'!C29</f>
        <v>2999200.1</v>
      </c>
      <c r="U18" s="8">
        <f>E34*'Matriz Atual'!C35</f>
        <v>5199700.1000000006</v>
      </c>
      <c r="V18" s="8">
        <f>F48*'Matriz Atual'!C49</f>
        <v>6925448.0800000001</v>
      </c>
    </row>
    <row r="19" spans="1:22">
      <c r="A19" s="20" t="s">
        <v>47</v>
      </c>
      <c r="B19" s="23">
        <v>115</v>
      </c>
      <c r="C19" s="23">
        <v>10</v>
      </c>
      <c r="D19" s="23">
        <v>1513</v>
      </c>
      <c r="E19" s="23">
        <v>289</v>
      </c>
      <c r="F19" s="23">
        <v>0</v>
      </c>
      <c r="G19" s="20"/>
      <c r="I19" s="24">
        <f>(Fasubra!F21-'Efeito Step'!J19)/'Efeito Step'!J19</f>
        <v>9.9999999999999548E-2</v>
      </c>
      <c r="J19" s="19">
        <v>8732.4420601426791</v>
      </c>
      <c r="K19" s="26">
        <v>18</v>
      </c>
      <c r="L19" s="8">
        <f>(((Fasubra!B21-'Matriz Atual'!C20)/'Matriz Atual'!C20)*'Matriz Atual'!C20)*B19</f>
        <v>123171.26824321943</v>
      </c>
      <c r="M19" s="8">
        <f>(((Fasubra!B21-'Matriz Atual'!C25)/'Matriz Atual'!C25)*'Matriz Atual'!C25)*(C24)</f>
        <v>138266.6798354288</v>
      </c>
      <c r="N19" s="8">
        <f>(((Fasubra!D21-'Matriz Atual'!C30)/'Matriz Atual'!C30)*'Matriz Atual'!C30)*(D29)</f>
        <v>1173422.1141889745</v>
      </c>
      <c r="O19" s="8">
        <f>(((Fasubra!D21-'Matriz Atual'!C36)/'Matriz Atual'!C36)*'Matriz Atual'!C36)*(E35)</f>
        <v>596819.51012016227</v>
      </c>
      <c r="P19" s="8">
        <f>(((Fasubra!F21-'Matriz Atual'!C50)/'Matriz Atual'!C50)*'Matriz Atual'!C50)*(F49)</f>
        <v>440984.31440925587</v>
      </c>
      <c r="R19" s="8">
        <f>B19*'Matriz Atual'!C20</f>
        <v>318690.3</v>
      </c>
      <c r="S19" s="8">
        <f>C24*'Matriz Atual'!C25</f>
        <v>952939.28</v>
      </c>
      <c r="T19" s="8">
        <f>D29*'Matriz Atual'!C30</f>
        <v>2803332</v>
      </c>
      <c r="U19" s="8">
        <f>E35*'Matriz Atual'!C36</f>
        <v>4676702.25</v>
      </c>
      <c r="V19" s="8">
        <f>F49*'Matriz Atual'!C50</f>
        <v>4409887.25</v>
      </c>
    </row>
    <row r="20" spans="1:22">
      <c r="A20" s="20" t="s">
        <v>48</v>
      </c>
      <c r="B20" s="23">
        <v>1173</v>
      </c>
      <c r="C20" s="23">
        <v>9</v>
      </c>
      <c r="D20" s="23">
        <v>1787</v>
      </c>
      <c r="E20" s="23">
        <v>1742</v>
      </c>
      <c r="F20" s="23">
        <v>0</v>
      </c>
      <c r="G20" s="23">
        <v>2279</v>
      </c>
      <c r="I20" s="24">
        <f>(Fasubra!F22-'Efeito Step'!J20)/'Efeito Step'!J20</f>
        <v>0.10000000000000003</v>
      </c>
      <c r="J20" s="19">
        <v>9073.0073004882397</v>
      </c>
      <c r="K20" s="25">
        <v>19</v>
      </c>
      <c r="L20" s="8">
        <f>(((Fasubra!B22-'Matriz Atual'!C21)/'Matriz Atual'!C21)*'Matriz Atual'!C21)*(B20+G20)</f>
        <v>3841500.2485655788</v>
      </c>
      <c r="M20" s="8">
        <f>(((Fasubra!B22-'Matriz Atual'!C26)/'Matriz Atual'!C26)*'Matriz Atual'!C26)*(C25+G25)</f>
        <v>3971802.3823108128</v>
      </c>
      <c r="N20" s="8">
        <f>(((Fasubra!D22-'Matriz Atual'!C31)/'Matriz Atual'!C31)*'Matriz Atual'!C31)*(D30+G30)</f>
        <v>36752452.221102558</v>
      </c>
      <c r="O20" s="8">
        <f>(((Fasubra!D22-'Matriz Atual'!C37)/'Matriz Atual'!C37)*'Matriz Atual'!C37)*(E36+G36)</f>
        <v>23210712.322718356</v>
      </c>
      <c r="P20" s="8">
        <f>(((Fasubra!F22-'Matriz Atual'!C51)/'Matriz Atual'!C51)*'Matriz Atual'!C51)*(F50+G50)</f>
        <v>20177178.511113759</v>
      </c>
      <c r="R20" s="8">
        <f>(B20+G20)*'Matriz Atual'!C21</f>
        <v>9939309.0800000001</v>
      </c>
      <c r="S20" s="8">
        <f>(C25+G25)*'Matriz Atual'!C26</f>
        <v>27374349.079999998</v>
      </c>
      <c r="T20" s="8">
        <f>(D30+G30)*'Matriz Atual'!C31</f>
        <v>87801792</v>
      </c>
      <c r="U20" s="8">
        <f>(E36+G36)*'Matriz Atual'!C37</f>
        <v>181878629.51999998</v>
      </c>
      <c r="V20" s="8">
        <f>(F50+G50)*'Matriz Atual'!C51</f>
        <v>201774891.78</v>
      </c>
    </row>
    <row r="21" spans="1:22" ht="15.75" customHeight="1">
      <c r="A21" s="20" t="s">
        <v>49</v>
      </c>
      <c r="B21" s="23">
        <v>0</v>
      </c>
      <c r="C21" s="23">
        <v>7</v>
      </c>
      <c r="D21" s="23">
        <v>1396</v>
      </c>
      <c r="E21" s="23">
        <v>767</v>
      </c>
      <c r="F21" s="23">
        <v>0</v>
      </c>
      <c r="G21" s="20"/>
      <c r="I21" s="71" t="s">
        <v>50</v>
      </c>
      <c r="J21" s="72"/>
      <c r="K21" s="72"/>
      <c r="L21" s="8">
        <f t="shared" ref="L21:P21" si="0">SUM(L2:L20)</f>
        <v>4209199.2918612082</v>
      </c>
      <c r="M21" s="8">
        <f t="shared" si="0"/>
        <v>4367561.5732970443</v>
      </c>
      <c r="N21" s="8">
        <f t="shared" si="0"/>
        <v>53502291.119066775</v>
      </c>
      <c r="O21" s="8">
        <f t="shared" si="0"/>
        <v>49536715.230512217</v>
      </c>
      <c r="P21" s="8">
        <f t="shared" si="0"/>
        <v>47934133.623801082</v>
      </c>
      <c r="R21" s="8">
        <f t="shared" ref="R21:V21" si="1">SUM(R2:R20)</f>
        <v>10890678.99</v>
      </c>
      <c r="S21" s="8">
        <f t="shared" si="1"/>
        <v>30101941.559999999</v>
      </c>
      <c r="T21" s="8">
        <f t="shared" si="1"/>
        <v>127817515.77000001</v>
      </c>
      <c r="U21" s="8">
        <f t="shared" si="1"/>
        <v>388170167.24000001</v>
      </c>
      <c r="V21" s="8">
        <f t="shared" si="1"/>
        <v>479347858.50999999</v>
      </c>
    </row>
    <row r="22" spans="1:22" ht="15.75" customHeight="1">
      <c r="A22" s="20" t="s">
        <v>51</v>
      </c>
      <c r="B22" s="23">
        <v>0</v>
      </c>
      <c r="C22" s="23">
        <v>244</v>
      </c>
      <c r="D22" s="23">
        <v>997</v>
      </c>
      <c r="E22" s="23">
        <v>3000</v>
      </c>
      <c r="F22" s="23">
        <v>0</v>
      </c>
      <c r="G22" s="20"/>
      <c r="L22" s="24">
        <f t="shared" ref="L22:P22" si="2">L21/SUM($L$21:$P$21)</f>
        <v>2.6381710485178199E-2</v>
      </c>
      <c r="M22" s="24">
        <f t="shared" si="2"/>
        <v>2.7374266924283078E-2</v>
      </c>
      <c r="N22" s="24">
        <f t="shared" si="2"/>
        <v>0.33533265039888771</v>
      </c>
      <c r="O22" s="24">
        <f t="shared" si="2"/>
        <v>0.31047788165435775</v>
      </c>
      <c r="P22" s="24">
        <f t="shared" si="2"/>
        <v>0.30043349053729329</v>
      </c>
      <c r="R22" s="18">
        <f t="shared" ref="R22:V22" si="3">R21/SUM($R$21:$V$21)</f>
        <v>1.0508909618210662E-2</v>
      </c>
      <c r="S22" s="18">
        <f t="shared" si="3"/>
        <v>2.9046727341533664E-2</v>
      </c>
      <c r="T22" s="18">
        <f t="shared" si="3"/>
        <v>0.12333691242616876</v>
      </c>
      <c r="U22" s="18">
        <f t="shared" si="3"/>
        <v>0.37456298250609599</v>
      </c>
      <c r="V22" s="18">
        <f t="shared" si="3"/>
        <v>0.46254446810799099</v>
      </c>
    </row>
    <row r="23" spans="1:22" ht="15.75" customHeight="1">
      <c r="A23" s="20" t="s">
        <v>52</v>
      </c>
      <c r="B23" s="23">
        <v>0</v>
      </c>
      <c r="C23" s="23">
        <v>201</v>
      </c>
      <c r="D23" s="23">
        <v>699</v>
      </c>
      <c r="E23" s="23">
        <v>1458</v>
      </c>
      <c r="F23" s="23">
        <v>0</v>
      </c>
      <c r="G23" s="20"/>
      <c r="R23" s="78" t="s">
        <v>53</v>
      </c>
      <c r="S23" s="72"/>
      <c r="T23" s="72"/>
      <c r="U23" s="72"/>
      <c r="V23" s="72"/>
    </row>
    <row r="24" spans="1:22" ht="15.75" customHeight="1">
      <c r="A24" s="20" t="s">
        <v>54</v>
      </c>
      <c r="B24" s="23">
        <v>0</v>
      </c>
      <c r="C24" s="23">
        <v>284</v>
      </c>
      <c r="D24" s="23">
        <v>282</v>
      </c>
      <c r="E24" s="23">
        <v>4146</v>
      </c>
      <c r="F24" s="23">
        <v>0</v>
      </c>
      <c r="G24" s="20"/>
      <c r="L24" s="19" t="s">
        <v>55</v>
      </c>
    </row>
    <row r="25" spans="1:22" ht="15.75" customHeight="1">
      <c r="A25" s="20" t="s">
        <v>56</v>
      </c>
      <c r="B25" s="23">
        <v>0</v>
      </c>
      <c r="C25" s="23">
        <v>2104</v>
      </c>
      <c r="D25" s="23">
        <v>317</v>
      </c>
      <c r="E25" s="23">
        <v>5364</v>
      </c>
      <c r="F25" s="23">
        <v>0</v>
      </c>
      <c r="G25" s="23">
        <v>5748</v>
      </c>
      <c r="L25" s="24">
        <f t="shared" ref="L25:P25" si="4">L21/R21</f>
        <v>0.38649557991068911</v>
      </c>
      <c r="M25" s="24">
        <f t="shared" si="4"/>
        <v>0.14509235441147553</v>
      </c>
      <c r="N25" s="24">
        <f t="shared" si="4"/>
        <v>0.4185834061690023</v>
      </c>
      <c r="O25" s="24">
        <f t="shared" si="4"/>
        <v>0.12761597724712415</v>
      </c>
      <c r="P25" s="24">
        <f t="shared" si="4"/>
        <v>9.9998639344711079E-2</v>
      </c>
    </row>
    <row r="26" spans="1:22" ht="15.75" customHeight="1">
      <c r="A26" s="20" t="s">
        <v>57</v>
      </c>
      <c r="B26" s="23">
        <v>0</v>
      </c>
      <c r="C26" s="23">
        <v>0</v>
      </c>
      <c r="D26" s="23">
        <v>498</v>
      </c>
      <c r="E26" s="23">
        <v>7448</v>
      </c>
      <c r="F26" s="23">
        <v>0</v>
      </c>
      <c r="G26" s="20"/>
    </row>
    <row r="27" spans="1:22" ht="15.75" customHeight="1">
      <c r="A27" s="20" t="s">
        <v>58</v>
      </c>
      <c r="B27" s="23">
        <v>0</v>
      </c>
      <c r="C27" s="23">
        <v>0</v>
      </c>
      <c r="D27" s="23">
        <v>1703</v>
      </c>
      <c r="E27" s="23">
        <v>5525</v>
      </c>
      <c r="F27" s="23">
        <v>0</v>
      </c>
      <c r="G27" s="20"/>
    </row>
    <row r="28" spans="1:22" ht="15.75" customHeight="1">
      <c r="A28" s="20" t="s">
        <v>59</v>
      </c>
      <c r="B28" s="23">
        <v>0</v>
      </c>
      <c r="C28" s="23">
        <v>0</v>
      </c>
      <c r="D28" s="23">
        <v>767</v>
      </c>
      <c r="E28" s="23">
        <v>4903</v>
      </c>
      <c r="F28" s="23">
        <v>0</v>
      </c>
      <c r="G28" s="20"/>
    </row>
    <row r="29" spans="1:22" ht="15.75" customHeight="1">
      <c r="A29" s="20" t="s">
        <v>60</v>
      </c>
      <c r="B29" s="23">
        <v>0</v>
      </c>
      <c r="C29" s="23">
        <v>0</v>
      </c>
      <c r="D29" s="23">
        <v>690</v>
      </c>
      <c r="E29" s="23">
        <v>5280</v>
      </c>
      <c r="F29" s="23">
        <v>0</v>
      </c>
      <c r="G29" s="20"/>
    </row>
    <row r="30" spans="1:22" ht="15.75" customHeight="1">
      <c r="A30" s="20" t="s">
        <v>61</v>
      </c>
      <c r="B30" s="23">
        <v>0</v>
      </c>
      <c r="C30" s="23">
        <v>0</v>
      </c>
      <c r="D30" s="23">
        <v>5315</v>
      </c>
      <c r="E30" s="23">
        <v>3721</v>
      </c>
      <c r="F30" s="23">
        <v>0</v>
      </c>
      <c r="G30" s="23">
        <v>15485</v>
      </c>
    </row>
    <row r="31" spans="1:22" ht="15.75" customHeight="1">
      <c r="A31" s="20" t="s">
        <v>62</v>
      </c>
      <c r="B31" s="23">
        <v>0</v>
      </c>
      <c r="C31" s="23">
        <v>0</v>
      </c>
      <c r="D31" s="23">
        <v>0</v>
      </c>
      <c r="E31" s="23">
        <v>1668</v>
      </c>
      <c r="F31" s="23">
        <v>0</v>
      </c>
      <c r="G31" s="20"/>
    </row>
    <row r="32" spans="1:22" ht="15.75" customHeight="1">
      <c r="A32" s="22" t="s">
        <v>63</v>
      </c>
      <c r="B32" s="23">
        <v>0</v>
      </c>
      <c r="C32" s="23">
        <v>0</v>
      </c>
      <c r="D32" s="23">
        <v>0</v>
      </c>
      <c r="E32" s="23">
        <v>1655</v>
      </c>
      <c r="F32" s="23">
        <v>2214</v>
      </c>
      <c r="G32" s="20"/>
    </row>
    <row r="33" spans="1:7" ht="15.75" customHeight="1">
      <c r="A33" s="20" t="s">
        <v>64</v>
      </c>
      <c r="B33" s="23">
        <v>0</v>
      </c>
      <c r="C33" s="23">
        <v>0</v>
      </c>
      <c r="D33" s="23">
        <v>0</v>
      </c>
      <c r="E33" s="23">
        <v>2761</v>
      </c>
      <c r="F33" s="23">
        <v>259</v>
      </c>
      <c r="G33" s="20"/>
    </row>
    <row r="34" spans="1:7" ht="15.75" customHeight="1">
      <c r="A34" s="20" t="s">
        <v>65</v>
      </c>
      <c r="B34" s="23">
        <v>0</v>
      </c>
      <c r="C34" s="23">
        <v>0</v>
      </c>
      <c r="D34" s="23">
        <v>0</v>
      </c>
      <c r="E34" s="23">
        <v>1057</v>
      </c>
      <c r="F34" s="23">
        <v>1082</v>
      </c>
      <c r="G34" s="20"/>
    </row>
    <row r="35" spans="1:7" ht="15.75" customHeight="1">
      <c r="A35" s="20" t="s">
        <v>66</v>
      </c>
      <c r="B35" s="23">
        <v>0</v>
      </c>
      <c r="C35" s="23">
        <v>0</v>
      </c>
      <c r="D35" s="23">
        <v>0</v>
      </c>
      <c r="E35" s="23">
        <v>915</v>
      </c>
      <c r="F35" s="23">
        <v>633</v>
      </c>
      <c r="G35" s="20"/>
    </row>
    <row r="36" spans="1:7" ht="15.75" customHeight="1">
      <c r="A36" s="20" t="s">
        <v>67</v>
      </c>
      <c r="B36" s="23">
        <v>0</v>
      </c>
      <c r="C36" s="23">
        <v>0</v>
      </c>
      <c r="D36" s="23">
        <v>0</v>
      </c>
      <c r="E36" s="23">
        <v>8119</v>
      </c>
      <c r="F36" s="23">
        <v>2205</v>
      </c>
      <c r="G36" s="23">
        <v>26130</v>
      </c>
    </row>
    <row r="37" spans="1:7" ht="15.75" customHeight="1">
      <c r="A37" s="20" t="s">
        <v>68</v>
      </c>
      <c r="B37" s="23">
        <v>0</v>
      </c>
      <c r="C37" s="23">
        <v>0</v>
      </c>
      <c r="D37" s="23">
        <v>0</v>
      </c>
      <c r="E37" s="23">
        <v>0</v>
      </c>
      <c r="F37" s="23">
        <v>1091</v>
      </c>
      <c r="G37" s="20"/>
    </row>
    <row r="38" spans="1:7" ht="15.75" customHeight="1">
      <c r="A38" s="20" t="s">
        <v>69</v>
      </c>
      <c r="B38" s="23">
        <v>0</v>
      </c>
      <c r="C38" s="23">
        <v>0</v>
      </c>
      <c r="D38" s="23">
        <v>0</v>
      </c>
      <c r="E38" s="23">
        <v>0</v>
      </c>
      <c r="F38" s="23">
        <v>2991</v>
      </c>
      <c r="G38" s="20"/>
    </row>
    <row r="39" spans="1:7" ht="15.75" customHeight="1">
      <c r="A39" s="20" t="s">
        <v>70</v>
      </c>
      <c r="B39" s="23">
        <v>0</v>
      </c>
      <c r="C39" s="23">
        <v>0</v>
      </c>
      <c r="D39" s="23">
        <v>0</v>
      </c>
      <c r="E39" s="23">
        <v>0</v>
      </c>
      <c r="F39" s="23">
        <v>3635</v>
      </c>
      <c r="G39" s="20"/>
    </row>
    <row r="40" spans="1:7" ht="15.75" customHeight="1">
      <c r="A40" s="20" t="s">
        <v>71</v>
      </c>
      <c r="B40" s="23">
        <v>0</v>
      </c>
      <c r="C40" s="23">
        <v>0</v>
      </c>
      <c r="D40" s="23">
        <v>0</v>
      </c>
      <c r="E40" s="23">
        <v>0</v>
      </c>
      <c r="F40" s="23">
        <v>5120</v>
      </c>
      <c r="G40" s="20"/>
    </row>
    <row r="41" spans="1:7" ht="15.75" customHeight="1">
      <c r="A41" s="20" t="s">
        <v>72</v>
      </c>
      <c r="B41" s="23">
        <v>0</v>
      </c>
      <c r="C41" s="23">
        <v>0</v>
      </c>
      <c r="D41" s="23">
        <v>0</v>
      </c>
      <c r="E41" s="23">
        <v>0</v>
      </c>
      <c r="F41" s="23">
        <v>4471</v>
      </c>
      <c r="G41" s="20"/>
    </row>
    <row r="42" spans="1:7" ht="15.75" customHeight="1">
      <c r="A42" s="20" t="s">
        <v>73</v>
      </c>
      <c r="B42" s="23">
        <v>0</v>
      </c>
      <c r="C42" s="23">
        <v>0</v>
      </c>
      <c r="D42" s="23">
        <v>0</v>
      </c>
      <c r="E42" s="23">
        <v>0</v>
      </c>
      <c r="F42" s="23">
        <v>3461</v>
      </c>
      <c r="G42" s="20"/>
    </row>
    <row r="43" spans="1:7" ht="15.75" customHeight="1">
      <c r="A43" s="20" t="s">
        <v>74</v>
      </c>
      <c r="B43" s="23">
        <v>0</v>
      </c>
      <c r="C43" s="23">
        <v>0</v>
      </c>
      <c r="D43" s="23">
        <v>0</v>
      </c>
      <c r="E43" s="23">
        <v>0</v>
      </c>
      <c r="F43" s="23">
        <v>5121</v>
      </c>
      <c r="G43" s="20"/>
    </row>
    <row r="44" spans="1:7" ht="15.75" customHeight="1">
      <c r="A44" s="20" t="s">
        <v>75</v>
      </c>
      <c r="B44" s="23">
        <v>0</v>
      </c>
      <c r="C44" s="23">
        <v>0</v>
      </c>
      <c r="D44" s="23">
        <v>0</v>
      </c>
      <c r="E44" s="23">
        <v>0</v>
      </c>
      <c r="F44" s="23">
        <v>3723</v>
      </c>
      <c r="G44" s="20"/>
    </row>
    <row r="45" spans="1:7" ht="15.75" customHeight="1">
      <c r="A45" s="20" t="s">
        <v>76</v>
      </c>
      <c r="B45" s="23">
        <v>0</v>
      </c>
      <c r="C45" s="23">
        <v>0</v>
      </c>
      <c r="D45" s="23">
        <v>0</v>
      </c>
      <c r="E45" s="23">
        <v>0</v>
      </c>
      <c r="F45" s="23">
        <v>1776</v>
      </c>
      <c r="G45" s="20"/>
    </row>
    <row r="46" spans="1:7" ht="15.75" customHeight="1">
      <c r="A46" s="20" t="s">
        <v>77</v>
      </c>
      <c r="B46" s="23">
        <v>0</v>
      </c>
      <c r="C46" s="23">
        <v>0</v>
      </c>
      <c r="D46" s="23">
        <v>0</v>
      </c>
      <c r="E46" s="23">
        <v>0</v>
      </c>
      <c r="F46" s="23">
        <v>1632</v>
      </c>
      <c r="G46" s="20"/>
    </row>
    <row r="47" spans="1:7" ht="15.75" customHeight="1">
      <c r="A47" s="20" t="s">
        <v>78</v>
      </c>
      <c r="B47" s="23">
        <v>0</v>
      </c>
      <c r="C47" s="23">
        <v>0</v>
      </c>
      <c r="D47" s="23">
        <v>0</v>
      </c>
      <c r="E47" s="23">
        <v>0</v>
      </c>
      <c r="F47" s="23">
        <v>2209</v>
      </c>
      <c r="G47" s="20"/>
    </row>
    <row r="48" spans="1:7" ht="15.75" customHeight="1">
      <c r="A48" s="20" t="s">
        <v>79</v>
      </c>
      <c r="B48" s="23">
        <v>0</v>
      </c>
      <c r="C48" s="23">
        <v>0</v>
      </c>
      <c r="D48" s="23">
        <v>0</v>
      </c>
      <c r="E48" s="23">
        <v>0</v>
      </c>
      <c r="F48" s="23">
        <v>824</v>
      </c>
      <c r="G48" s="20"/>
    </row>
    <row r="49" spans="1:7" ht="15.75" customHeight="1">
      <c r="A49" s="20" t="s">
        <v>80</v>
      </c>
      <c r="B49" s="23">
        <v>0</v>
      </c>
      <c r="C49" s="23">
        <v>0</v>
      </c>
      <c r="D49" s="23">
        <v>0</v>
      </c>
      <c r="E49" s="23">
        <v>0</v>
      </c>
      <c r="F49" s="23">
        <v>505</v>
      </c>
      <c r="G49" s="20"/>
    </row>
    <row r="50" spans="1:7" ht="15.75" customHeight="1">
      <c r="A50" s="20" t="s">
        <v>81</v>
      </c>
      <c r="B50" s="23">
        <v>0</v>
      </c>
      <c r="C50" s="23">
        <v>0</v>
      </c>
      <c r="D50" s="23">
        <v>0</v>
      </c>
      <c r="E50" s="23">
        <v>0</v>
      </c>
      <c r="F50" s="23">
        <v>3601</v>
      </c>
      <c r="G50" s="23">
        <v>18638</v>
      </c>
    </row>
    <row r="51" spans="1:7" ht="15.75" customHeight="1">
      <c r="A51" s="20" t="s">
        <v>82</v>
      </c>
      <c r="B51" s="23">
        <f t="shared" ref="B51:G51" si="5">SUM(B2:B50)</f>
        <v>1534</v>
      </c>
      <c r="C51" s="23">
        <f t="shared" si="5"/>
        <v>2975</v>
      </c>
      <c r="D51" s="23">
        <f t="shared" si="5"/>
        <v>17957</v>
      </c>
      <c r="E51" s="23">
        <f t="shared" si="5"/>
        <v>63427</v>
      </c>
      <c r="F51" s="23">
        <f t="shared" si="5"/>
        <v>46553</v>
      </c>
      <c r="G51" s="23">
        <f t="shared" si="5"/>
        <v>68280</v>
      </c>
    </row>
    <row r="52" spans="1:7" ht="15.75" customHeight="1"/>
    <row r="53" spans="1:7" ht="15.75" customHeight="1"/>
    <row r="54" spans="1:7" ht="15.75" customHeight="1"/>
    <row r="55" spans="1:7" ht="15.7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I21:K21"/>
    <mergeCell ref="R23:V23"/>
  </mergeCells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workbookViewId="0">
      <selection activeCell="H8" sqref="H8"/>
    </sheetView>
  </sheetViews>
  <sheetFormatPr defaultColWidth="14.42578125" defaultRowHeight="15" customHeight="1"/>
  <cols>
    <col min="1" max="1" width="9" customWidth="1"/>
    <col min="2" max="2" width="0.42578125" customWidth="1"/>
    <col min="3" max="3" width="11" customWidth="1"/>
    <col min="4" max="23" width="3" customWidth="1"/>
    <col min="24" max="26" width="9" customWidth="1"/>
  </cols>
  <sheetData>
    <row r="1" spans="1:23">
      <c r="A1" s="27"/>
      <c r="B1" s="27"/>
      <c r="C1" s="27"/>
      <c r="D1" s="79" t="s">
        <v>7</v>
      </c>
      <c r="E1" s="80"/>
      <c r="F1" s="80"/>
      <c r="G1" s="70"/>
      <c r="H1" s="81" t="s">
        <v>8</v>
      </c>
      <c r="I1" s="80"/>
      <c r="J1" s="80"/>
      <c r="K1" s="70"/>
      <c r="L1" s="79" t="s">
        <v>9</v>
      </c>
      <c r="M1" s="80"/>
      <c r="N1" s="80"/>
      <c r="O1" s="70"/>
      <c r="P1" s="81" t="s">
        <v>10</v>
      </c>
      <c r="Q1" s="80"/>
      <c r="R1" s="80"/>
      <c r="S1" s="70"/>
      <c r="T1" s="79" t="s">
        <v>11</v>
      </c>
      <c r="U1" s="80"/>
      <c r="V1" s="80"/>
      <c r="W1" s="70"/>
    </row>
    <row r="2" spans="1:23">
      <c r="A2" s="27"/>
      <c r="B2" s="27"/>
      <c r="C2" s="27"/>
      <c r="D2" s="28" t="s">
        <v>83</v>
      </c>
      <c r="E2" s="28" t="s">
        <v>84</v>
      </c>
      <c r="F2" s="28" t="s">
        <v>85</v>
      </c>
      <c r="G2" s="28" t="s">
        <v>86</v>
      </c>
      <c r="H2" s="29" t="s">
        <v>83</v>
      </c>
      <c r="I2" s="29" t="s">
        <v>84</v>
      </c>
      <c r="J2" s="29" t="s">
        <v>85</v>
      </c>
      <c r="K2" s="29" t="s">
        <v>86</v>
      </c>
      <c r="L2" s="28" t="s">
        <v>83</v>
      </c>
      <c r="M2" s="28" t="s">
        <v>84</v>
      </c>
      <c r="N2" s="28" t="s">
        <v>85</v>
      </c>
      <c r="O2" s="28" t="s">
        <v>86</v>
      </c>
      <c r="P2" s="29" t="s">
        <v>83</v>
      </c>
      <c r="Q2" s="29" t="s">
        <v>84</v>
      </c>
      <c r="R2" s="29" t="s">
        <v>85</v>
      </c>
      <c r="S2" s="29" t="s">
        <v>86</v>
      </c>
      <c r="T2" s="28" t="s">
        <v>83</v>
      </c>
      <c r="U2" s="28" t="s">
        <v>84</v>
      </c>
      <c r="V2" s="28" t="s">
        <v>85</v>
      </c>
      <c r="W2" s="28" t="s">
        <v>86</v>
      </c>
    </row>
    <row r="3" spans="1:23">
      <c r="A3" s="30" t="s">
        <v>87</v>
      </c>
      <c r="B3" s="31"/>
      <c r="C3" s="32">
        <v>1446.12</v>
      </c>
      <c r="D3" s="28">
        <v>1</v>
      </c>
      <c r="E3" s="28"/>
      <c r="F3" s="28"/>
      <c r="G3" s="28"/>
      <c r="H3" s="29"/>
      <c r="I3" s="29"/>
      <c r="J3" s="29"/>
      <c r="K3" s="29"/>
      <c r="L3" s="28"/>
      <c r="M3" s="28"/>
      <c r="N3" s="28"/>
      <c r="O3" s="28"/>
      <c r="P3" s="29"/>
      <c r="Q3" s="29"/>
      <c r="R3" s="29"/>
      <c r="S3" s="29"/>
      <c r="T3" s="28"/>
      <c r="U3" s="28"/>
      <c r="V3" s="28"/>
      <c r="W3" s="28"/>
    </row>
    <row r="4" spans="1:23">
      <c r="A4" s="33" t="s">
        <v>88</v>
      </c>
      <c r="B4" s="34">
        <v>3.9000912787320603E-2</v>
      </c>
      <c r="C4" s="35">
        <f t="shared" ref="C4:C51" si="0">C3+C3*B4</f>
        <v>1502.52</v>
      </c>
      <c r="D4" s="28">
        <v>2</v>
      </c>
      <c r="E4" s="28">
        <v>1</v>
      </c>
      <c r="F4" s="28"/>
      <c r="G4" s="28"/>
      <c r="H4" s="29"/>
      <c r="I4" s="29"/>
      <c r="J4" s="29"/>
      <c r="K4" s="29"/>
      <c r="L4" s="28"/>
      <c r="M4" s="28"/>
      <c r="N4" s="28"/>
      <c r="O4" s="28"/>
      <c r="P4" s="29"/>
      <c r="Q4" s="29"/>
      <c r="R4" s="29"/>
      <c r="S4" s="29"/>
      <c r="T4" s="28"/>
      <c r="U4" s="28"/>
      <c r="V4" s="28"/>
      <c r="W4" s="28"/>
    </row>
    <row r="5" spans="1:23">
      <c r="A5" s="33" t="s">
        <v>89</v>
      </c>
      <c r="B5" s="34">
        <v>3.9001144743497501E-2</v>
      </c>
      <c r="C5" s="35">
        <f t="shared" si="0"/>
        <v>1561.12</v>
      </c>
      <c r="D5" s="28">
        <v>3</v>
      </c>
      <c r="E5" s="28">
        <v>2</v>
      </c>
      <c r="F5" s="28">
        <v>1</v>
      </c>
      <c r="G5" s="28"/>
      <c r="H5" s="29"/>
      <c r="I5" s="29"/>
      <c r="J5" s="29"/>
      <c r="K5" s="29"/>
      <c r="L5" s="28"/>
      <c r="M5" s="28"/>
      <c r="N5" s="28"/>
      <c r="O5" s="28"/>
      <c r="P5" s="29"/>
      <c r="Q5" s="29"/>
      <c r="R5" s="29"/>
      <c r="S5" s="29"/>
      <c r="T5" s="28"/>
      <c r="U5" s="28"/>
      <c r="V5" s="28"/>
      <c r="W5" s="28"/>
    </row>
    <row r="6" spans="1:23">
      <c r="A6" s="33" t="s">
        <v>90</v>
      </c>
      <c r="B6" s="34">
        <v>3.9004048375525298E-2</v>
      </c>
      <c r="C6" s="35">
        <f t="shared" si="0"/>
        <v>1622.01</v>
      </c>
      <c r="D6" s="28">
        <v>4</v>
      </c>
      <c r="E6" s="28">
        <v>3</v>
      </c>
      <c r="F6" s="28">
        <v>2</v>
      </c>
      <c r="G6" s="28">
        <v>1</v>
      </c>
      <c r="H6" s="29"/>
      <c r="I6" s="29"/>
      <c r="J6" s="29"/>
      <c r="K6" s="29"/>
      <c r="L6" s="28"/>
      <c r="M6" s="28"/>
      <c r="N6" s="28"/>
      <c r="O6" s="28"/>
      <c r="P6" s="29"/>
      <c r="Q6" s="29"/>
      <c r="R6" s="29"/>
      <c r="S6" s="29"/>
      <c r="T6" s="28"/>
      <c r="U6" s="28"/>
      <c r="V6" s="28"/>
      <c r="W6" s="28"/>
    </row>
    <row r="7" spans="1:23">
      <c r="A7" s="33" t="s">
        <v>91</v>
      </c>
      <c r="B7" s="34">
        <v>3.8994827405503099E-2</v>
      </c>
      <c r="C7" s="35">
        <f t="shared" si="0"/>
        <v>1685.26</v>
      </c>
      <c r="D7" s="28">
        <v>5</v>
      </c>
      <c r="E7" s="28">
        <v>4</v>
      </c>
      <c r="F7" s="28">
        <v>3</v>
      </c>
      <c r="G7" s="28">
        <v>2</v>
      </c>
      <c r="H7" s="29"/>
      <c r="I7" s="29"/>
      <c r="J7" s="29"/>
      <c r="K7" s="29"/>
      <c r="L7" s="28"/>
      <c r="M7" s="28"/>
      <c r="N7" s="28"/>
      <c r="O7" s="28"/>
      <c r="P7" s="29"/>
      <c r="Q7" s="29"/>
      <c r="R7" s="29"/>
      <c r="S7" s="29"/>
      <c r="T7" s="28"/>
      <c r="U7" s="28"/>
      <c r="V7" s="28"/>
      <c r="W7" s="28"/>
    </row>
    <row r="8" spans="1:23">
      <c r="A8" s="33" t="s">
        <v>92</v>
      </c>
      <c r="B8" s="34">
        <v>3.9002883828014701E-2</v>
      </c>
      <c r="C8" s="35">
        <f t="shared" si="0"/>
        <v>1750.99</v>
      </c>
      <c r="D8" s="28">
        <v>6</v>
      </c>
      <c r="E8" s="28">
        <v>5</v>
      </c>
      <c r="F8" s="28">
        <v>4</v>
      </c>
      <c r="G8" s="28">
        <v>3</v>
      </c>
      <c r="H8" s="29">
        <v>1</v>
      </c>
      <c r="I8" s="29"/>
      <c r="J8" s="29"/>
      <c r="K8" s="29"/>
      <c r="L8" s="28"/>
      <c r="M8" s="28"/>
      <c r="N8" s="28"/>
      <c r="O8" s="28"/>
      <c r="P8" s="29"/>
      <c r="Q8" s="29"/>
      <c r="R8" s="29"/>
      <c r="S8" s="29"/>
      <c r="T8" s="28"/>
      <c r="U8" s="28"/>
      <c r="V8" s="28"/>
      <c r="W8" s="28"/>
    </row>
    <row r="9" spans="1:23">
      <c r="A9" s="33" t="s">
        <v>93</v>
      </c>
      <c r="B9" s="34">
        <v>3.9000793836629501E-2</v>
      </c>
      <c r="C9" s="35">
        <f t="shared" si="0"/>
        <v>1819.28</v>
      </c>
      <c r="D9" s="28">
        <v>7</v>
      </c>
      <c r="E9" s="28">
        <v>6</v>
      </c>
      <c r="F9" s="28">
        <v>5</v>
      </c>
      <c r="G9" s="28">
        <v>4</v>
      </c>
      <c r="H9" s="29">
        <v>2</v>
      </c>
      <c r="I9" s="29">
        <v>1</v>
      </c>
      <c r="J9" s="29"/>
      <c r="K9" s="29"/>
      <c r="L9" s="28"/>
      <c r="M9" s="28"/>
      <c r="N9" s="28"/>
      <c r="O9" s="28"/>
      <c r="P9" s="29"/>
      <c r="Q9" s="29"/>
      <c r="R9" s="29"/>
      <c r="S9" s="29"/>
      <c r="T9" s="28"/>
      <c r="U9" s="28"/>
      <c r="V9" s="28"/>
      <c r="W9" s="28"/>
    </row>
    <row r="10" spans="1:23">
      <c r="A10" s="33" t="s">
        <v>94</v>
      </c>
      <c r="B10" s="34">
        <v>3.8993447957433702E-2</v>
      </c>
      <c r="C10" s="35">
        <f t="shared" si="0"/>
        <v>1890.22</v>
      </c>
      <c r="D10" s="28">
        <v>8</v>
      </c>
      <c r="E10" s="28">
        <v>7</v>
      </c>
      <c r="F10" s="28">
        <v>6</v>
      </c>
      <c r="G10" s="28">
        <v>5</v>
      </c>
      <c r="H10" s="29">
        <v>3</v>
      </c>
      <c r="I10" s="29">
        <v>2</v>
      </c>
      <c r="J10" s="29">
        <v>1</v>
      </c>
      <c r="K10" s="29"/>
      <c r="L10" s="28"/>
      <c r="M10" s="28"/>
      <c r="N10" s="28"/>
      <c r="O10" s="28"/>
      <c r="P10" s="29"/>
      <c r="Q10" s="29"/>
      <c r="R10" s="29"/>
      <c r="S10" s="29"/>
      <c r="T10" s="28"/>
      <c r="U10" s="28"/>
      <c r="V10" s="28"/>
      <c r="W10" s="28"/>
    </row>
    <row r="11" spans="1:23">
      <c r="A11" s="33" t="s">
        <v>95</v>
      </c>
      <c r="B11" s="34">
        <v>3.9006041624784403E-2</v>
      </c>
      <c r="C11" s="35">
        <f t="shared" si="0"/>
        <v>1963.95</v>
      </c>
      <c r="D11" s="28">
        <v>9</v>
      </c>
      <c r="E11" s="28">
        <v>8</v>
      </c>
      <c r="F11" s="28">
        <v>7</v>
      </c>
      <c r="G11" s="28">
        <v>6</v>
      </c>
      <c r="H11" s="29">
        <v>4</v>
      </c>
      <c r="I11" s="29">
        <v>3</v>
      </c>
      <c r="J11" s="29">
        <v>2</v>
      </c>
      <c r="K11" s="29">
        <v>1</v>
      </c>
      <c r="L11" s="28"/>
      <c r="M11" s="28"/>
      <c r="N11" s="28"/>
      <c r="O11" s="28"/>
      <c r="P11" s="29"/>
      <c r="Q11" s="29"/>
      <c r="R11" s="29"/>
      <c r="S11" s="29"/>
      <c r="T11" s="28"/>
      <c r="U11" s="28"/>
      <c r="V11" s="28"/>
      <c r="W11" s="28"/>
    </row>
    <row r="12" spans="1:23">
      <c r="A12" s="33" t="s">
        <v>96</v>
      </c>
      <c r="B12" s="34">
        <v>3.9003029608696699E-2</v>
      </c>
      <c r="C12" s="35">
        <f t="shared" si="0"/>
        <v>2040.55</v>
      </c>
      <c r="D12" s="28">
        <v>10</v>
      </c>
      <c r="E12" s="28">
        <v>9</v>
      </c>
      <c r="F12" s="28">
        <v>8</v>
      </c>
      <c r="G12" s="28">
        <v>7</v>
      </c>
      <c r="H12" s="29">
        <v>5</v>
      </c>
      <c r="I12" s="29">
        <v>4</v>
      </c>
      <c r="J12" s="29">
        <v>3</v>
      </c>
      <c r="K12" s="29">
        <v>2</v>
      </c>
      <c r="L12" s="28"/>
      <c r="M12" s="28"/>
      <c r="N12" s="28"/>
      <c r="O12" s="28"/>
      <c r="P12" s="29"/>
      <c r="Q12" s="29"/>
      <c r="R12" s="29"/>
      <c r="S12" s="29"/>
      <c r="T12" s="28"/>
      <c r="U12" s="28"/>
      <c r="V12" s="28"/>
      <c r="W12" s="28"/>
    </row>
    <row r="13" spans="1:23">
      <c r="A13" s="33" t="s">
        <v>97</v>
      </c>
      <c r="B13" s="34">
        <v>3.8999289407267698E-2</v>
      </c>
      <c r="C13" s="35">
        <f t="shared" si="0"/>
        <v>2120.13</v>
      </c>
      <c r="D13" s="28">
        <v>11</v>
      </c>
      <c r="E13" s="28">
        <v>10</v>
      </c>
      <c r="F13" s="28">
        <v>9</v>
      </c>
      <c r="G13" s="28">
        <v>8</v>
      </c>
      <c r="H13" s="29">
        <v>6</v>
      </c>
      <c r="I13" s="29">
        <v>5</v>
      </c>
      <c r="J13" s="29">
        <v>4</v>
      </c>
      <c r="K13" s="29">
        <v>3</v>
      </c>
      <c r="L13" s="28">
        <v>1</v>
      </c>
      <c r="M13" s="28"/>
      <c r="N13" s="28"/>
      <c r="O13" s="28"/>
      <c r="P13" s="29"/>
      <c r="Q13" s="29"/>
      <c r="R13" s="29"/>
      <c r="S13" s="29"/>
      <c r="T13" s="28"/>
      <c r="U13" s="28"/>
      <c r="V13" s="28"/>
      <c r="W13" s="28"/>
    </row>
    <row r="14" spans="1:23">
      <c r="A14" s="33" t="s">
        <v>98</v>
      </c>
      <c r="B14" s="34">
        <v>3.8992891945305301E-2</v>
      </c>
      <c r="C14" s="35">
        <f t="shared" si="0"/>
        <v>2202.8000000000002</v>
      </c>
      <c r="D14" s="28">
        <v>12</v>
      </c>
      <c r="E14" s="28">
        <v>11</v>
      </c>
      <c r="F14" s="28">
        <v>10</v>
      </c>
      <c r="G14" s="28">
        <v>9</v>
      </c>
      <c r="H14" s="29">
        <v>7</v>
      </c>
      <c r="I14" s="29">
        <v>6</v>
      </c>
      <c r="J14" s="29">
        <v>5</v>
      </c>
      <c r="K14" s="29">
        <v>4</v>
      </c>
      <c r="L14" s="28">
        <v>2</v>
      </c>
      <c r="M14" s="28">
        <v>1</v>
      </c>
      <c r="N14" s="28"/>
      <c r="O14" s="28"/>
      <c r="P14" s="29"/>
      <c r="Q14" s="29"/>
      <c r="R14" s="29"/>
      <c r="S14" s="29"/>
      <c r="T14" s="28"/>
      <c r="U14" s="28"/>
      <c r="V14" s="28"/>
      <c r="W14" s="28"/>
    </row>
    <row r="15" spans="1:23">
      <c r="A15" s="33" t="s">
        <v>99</v>
      </c>
      <c r="B15" s="34">
        <v>3.9004902850916803E-2</v>
      </c>
      <c r="C15" s="35">
        <f t="shared" si="0"/>
        <v>2288.7199999999998</v>
      </c>
      <c r="D15" s="28">
        <v>13</v>
      </c>
      <c r="E15" s="28">
        <v>12</v>
      </c>
      <c r="F15" s="28">
        <v>11</v>
      </c>
      <c r="G15" s="28">
        <v>10</v>
      </c>
      <c r="H15" s="29">
        <v>8</v>
      </c>
      <c r="I15" s="29">
        <v>7</v>
      </c>
      <c r="J15" s="29">
        <v>6</v>
      </c>
      <c r="K15" s="29">
        <v>5</v>
      </c>
      <c r="L15" s="28">
        <v>3</v>
      </c>
      <c r="M15" s="28">
        <v>2</v>
      </c>
      <c r="N15" s="28">
        <v>1</v>
      </c>
      <c r="O15" s="28"/>
      <c r="P15" s="29"/>
      <c r="Q15" s="29"/>
      <c r="R15" s="29"/>
      <c r="S15" s="29"/>
      <c r="T15" s="28"/>
      <c r="U15" s="28"/>
      <c r="V15" s="28"/>
      <c r="W15" s="28"/>
    </row>
    <row r="16" spans="1:23">
      <c r="A16" s="33" t="s">
        <v>100</v>
      </c>
      <c r="B16" s="34">
        <v>3.8999965045964702E-2</v>
      </c>
      <c r="C16" s="35">
        <f t="shared" si="0"/>
        <v>2377.98</v>
      </c>
      <c r="D16" s="28">
        <v>14</v>
      </c>
      <c r="E16" s="28">
        <v>13</v>
      </c>
      <c r="F16" s="28">
        <v>12</v>
      </c>
      <c r="G16" s="28">
        <v>11</v>
      </c>
      <c r="H16" s="29">
        <v>9</v>
      </c>
      <c r="I16" s="29">
        <v>8</v>
      </c>
      <c r="J16" s="29">
        <v>7</v>
      </c>
      <c r="K16" s="29">
        <v>6</v>
      </c>
      <c r="L16" s="28">
        <v>4</v>
      </c>
      <c r="M16" s="28">
        <v>3</v>
      </c>
      <c r="N16" s="28">
        <v>2</v>
      </c>
      <c r="O16" s="28">
        <v>1</v>
      </c>
      <c r="P16" s="29"/>
      <c r="Q16" s="29"/>
      <c r="R16" s="29"/>
      <c r="S16" s="29"/>
      <c r="T16" s="28"/>
      <c r="U16" s="28"/>
      <c r="V16" s="28"/>
      <c r="W16" s="28"/>
    </row>
    <row r="17" spans="1:23">
      <c r="A17" s="33" t="s">
        <v>101</v>
      </c>
      <c r="B17" s="34">
        <v>3.89952817096864E-2</v>
      </c>
      <c r="C17" s="35">
        <f t="shared" si="0"/>
        <v>2470.71</v>
      </c>
      <c r="D17" s="28">
        <v>15</v>
      </c>
      <c r="E17" s="28">
        <v>14</v>
      </c>
      <c r="F17" s="28">
        <v>13</v>
      </c>
      <c r="G17" s="28">
        <v>12</v>
      </c>
      <c r="H17" s="29">
        <v>10</v>
      </c>
      <c r="I17" s="29">
        <v>9</v>
      </c>
      <c r="J17" s="29">
        <v>8</v>
      </c>
      <c r="K17" s="29">
        <v>7</v>
      </c>
      <c r="L17" s="28">
        <v>5</v>
      </c>
      <c r="M17" s="28">
        <v>4</v>
      </c>
      <c r="N17" s="28">
        <v>3</v>
      </c>
      <c r="O17" s="28">
        <v>2</v>
      </c>
      <c r="P17" s="29"/>
      <c r="Q17" s="29"/>
      <c r="R17" s="29"/>
      <c r="S17" s="29"/>
      <c r="T17" s="28"/>
      <c r="U17" s="28"/>
      <c r="V17" s="28"/>
      <c r="W17" s="28"/>
    </row>
    <row r="18" spans="1:23">
      <c r="A18" s="33" t="s">
        <v>102</v>
      </c>
      <c r="B18" s="34">
        <v>3.90049823734877E-2</v>
      </c>
      <c r="C18" s="35">
        <f t="shared" si="0"/>
        <v>2567.08</v>
      </c>
      <c r="D18" s="28">
        <v>16</v>
      </c>
      <c r="E18" s="28">
        <v>15</v>
      </c>
      <c r="F18" s="28">
        <v>14</v>
      </c>
      <c r="G18" s="28">
        <v>13</v>
      </c>
      <c r="H18" s="29">
        <v>11</v>
      </c>
      <c r="I18" s="29">
        <v>10</v>
      </c>
      <c r="J18" s="29">
        <v>9</v>
      </c>
      <c r="K18" s="29">
        <v>8</v>
      </c>
      <c r="L18" s="28">
        <v>6</v>
      </c>
      <c r="M18" s="28">
        <v>5</v>
      </c>
      <c r="N18" s="28">
        <v>4</v>
      </c>
      <c r="O18" s="28">
        <v>3</v>
      </c>
      <c r="P18" s="29"/>
      <c r="Q18" s="29"/>
      <c r="R18" s="29"/>
      <c r="S18" s="29"/>
      <c r="T18" s="28"/>
      <c r="U18" s="28"/>
      <c r="V18" s="28"/>
      <c r="W18" s="28"/>
    </row>
    <row r="19" spans="1:23">
      <c r="A19" s="33" t="s">
        <v>103</v>
      </c>
      <c r="B19" s="34">
        <v>3.8997615968337597E-2</v>
      </c>
      <c r="C19" s="35">
        <f t="shared" si="0"/>
        <v>2667.19</v>
      </c>
      <c r="D19" s="28"/>
      <c r="E19" s="28">
        <v>16</v>
      </c>
      <c r="F19" s="28">
        <v>15</v>
      </c>
      <c r="G19" s="28">
        <v>14</v>
      </c>
      <c r="H19" s="29">
        <v>12</v>
      </c>
      <c r="I19" s="29">
        <v>11</v>
      </c>
      <c r="J19" s="29">
        <v>10</v>
      </c>
      <c r="K19" s="29">
        <v>9</v>
      </c>
      <c r="L19" s="28">
        <v>7</v>
      </c>
      <c r="M19" s="28">
        <v>6</v>
      </c>
      <c r="N19" s="28">
        <v>5</v>
      </c>
      <c r="O19" s="28">
        <v>4</v>
      </c>
      <c r="P19" s="29">
        <v>1</v>
      </c>
      <c r="Q19" s="29"/>
      <c r="R19" s="29"/>
      <c r="S19" s="29"/>
      <c r="T19" s="28"/>
      <c r="U19" s="28"/>
      <c r="V19" s="28"/>
      <c r="W19" s="28"/>
    </row>
    <row r="20" spans="1:23">
      <c r="A20" s="33" t="s">
        <v>104</v>
      </c>
      <c r="B20" s="34">
        <v>3.9003595544374298E-2</v>
      </c>
      <c r="C20" s="35">
        <f t="shared" si="0"/>
        <v>2771.22</v>
      </c>
      <c r="D20" s="28"/>
      <c r="E20" s="28"/>
      <c r="F20" s="28">
        <v>16</v>
      </c>
      <c r="G20" s="28">
        <v>15</v>
      </c>
      <c r="H20" s="29">
        <v>13</v>
      </c>
      <c r="I20" s="29">
        <v>12</v>
      </c>
      <c r="J20" s="29">
        <v>11</v>
      </c>
      <c r="K20" s="29">
        <v>10</v>
      </c>
      <c r="L20" s="28">
        <v>8</v>
      </c>
      <c r="M20" s="28">
        <v>7</v>
      </c>
      <c r="N20" s="28">
        <v>6</v>
      </c>
      <c r="O20" s="28">
        <v>5</v>
      </c>
      <c r="P20" s="29">
        <v>2</v>
      </c>
      <c r="Q20" s="29">
        <v>1</v>
      </c>
      <c r="R20" s="29"/>
      <c r="S20" s="29"/>
      <c r="T20" s="28"/>
      <c r="U20" s="28"/>
      <c r="V20" s="28"/>
      <c r="W20" s="28"/>
    </row>
    <row r="21" spans="1:23" ht="15.75" customHeight="1">
      <c r="A21" s="33" t="s">
        <v>105</v>
      </c>
      <c r="B21" s="34">
        <v>3.8997264742604398E-2</v>
      </c>
      <c r="C21" s="35">
        <f t="shared" si="0"/>
        <v>2879.29</v>
      </c>
      <c r="D21" s="28"/>
      <c r="E21" s="28"/>
      <c r="F21" s="28"/>
      <c r="G21" s="28">
        <v>16</v>
      </c>
      <c r="H21" s="29">
        <v>14</v>
      </c>
      <c r="I21" s="29">
        <v>13</v>
      </c>
      <c r="J21" s="29">
        <v>12</v>
      </c>
      <c r="K21" s="29">
        <v>11</v>
      </c>
      <c r="L21" s="28">
        <v>9</v>
      </c>
      <c r="M21" s="28">
        <v>8</v>
      </c>
      <c r="N21" s="28">
        <v>7</v>
      </c>
      <c r="O21" s="28">
        <v>6</v>
      </c>
      <c r="P21" s="29">
        <v>3</v>
      </c>
      <c r="Q21" s="29">
        <v>2</v>
      </c>
      <c r="R21" s="29">
        <v>1</v>
      </c>
      <c r="S21" s="29"/>
      <c r="T21" s="28"/>
      <c r="U21" s="28"/>
      <c r="V21" s="28"/>
      <c r="W21" s="28"/>
    </row>
    <row r="22" spans="1:23" ht="15.75" customHeight="1">
      <c r="A22" s="33" t="s">
        <v>106</v>
      </c>
      <c r="B22" s="34">
        <v>3.8999197718882099E-2</v>
      </c>
      <c r="C22" s="35">
        <f t="shared" si="0"/>
        <v>2991.58</v>
      </c>
      <c r="D22" s="28"/>
      <c r="E22" s="28"/>
      <c r="F22" s="28"/>
      <c r="G22" s="28"/>
      <c r="H22" s="29">
        <v>15</v>
      </c>
      <c r="I22" s="29">
        <v>14</v>
      </c>
      <c r="J22" s="29">
        <v>13</v>
      </c>
      <c r="K22" s="29">
        <v>12</v>
      </c>
      <c r="L22" s="28">
        <v>10</v>
      </c>
      <c r="M22" s="28">
        <v>9</v>
      </c>
      <c r="N22" s="28">
        <v>8</v>
      </c>
      <c r="O22" s="28">
        <v>7</v>
      </c>
      <c r="P22" s="29">
        <v>4</v>
      </c>
      <c r="Q22" s="29">
        <v>3</v>
      </c>
      <c r="R22" s="29">
        <v>2</v>
      </c>
      <c r="S22" s="29">
        <v>1</v>
      </c>
      <c r="T22" s="28"/>
      <c r="U22" s="28"/>
      <c r="V22" s="28"/>
      <c r="W22" s="28"/>
    </row>
    <row r="23" spans="1:23" ht="15.75" customHeight="1">
      <c r="A23" s="33" t="s">
        <v>107</v>
      </c>
      <c r="B23" s="34">
        <v>3.8999458480134301E-2</v>
      </c>
      <c r="C23" s="35">
        <f t="shared" si="0"/>
        <v>3108.25</v>
      </c>
      <c r="D23" s="28"/>
      <c r="E23" s="28"/>
      <c r="F23" s="28"/>
      <c r="G23" s="28"/>
      <c r="H23" s="29">
        <v>16</v>
      </c>
      <c r="I23" s="29">
        <v>15</v>
      </c>
      <c r="J23" s="29">
        <v>14</v>
      </c>
      <c r="K23" s="29">
        <v>13</v>
      </c>
      <c r="L23" s="28">
        <v>11</v>
      </c>
      <c r="M23" s="28">
        <v>10</v>
      </c>
      <c r="N23" s="28">
        <v>9</v>
      </c>
      <c r="O23" s="28">
        <v>8</v>
      </c>
      <c r="P23" s="29">
        <v>5</v>
      </c>
      <c r="Q23" s="29">
        <v>4</v>
      </c>
      <c r="R23" s="29">
        <v>3</v>
      </c>
      <c r="S23" s="29">
        <v>2</v>
      </c>
      <c r="T23" s="28"/>
      <c r="U23" s="28"/>
      <c r="V23" s="28"/>
      <c r="W23" s="28"/>
    </row>
    <row r="24" spans="1:23" ht="15.75" customHeight="1">
      <c r="A24" s="33" t="s">
        <v>108</v>
      </c>
      <c r="B24" s="34">
        <v>3.8999436982224703E-2</v>
      </c>
      <c r="C24" s="35">
        <f t="shared" si="0"/>
        <v>3229.47</v>
      </c>
      <c r="D24" s="28"/>
      <c r="E24" s="28"/>
      <c r="F24" s="28"/>
      <c r="G24" s="28"/>
      <c r="H24" s="29"/>
      <c r="I24" s="29">
        <v>16</v>
      </c>
      <c r="J24" s="29">
        <v>15</v>
      </c>
      <c r="K24" s="29">
        <v>14</v>
      </c>
      <c r="L24" s="28">
        <v>12</v>
      </c>
      <c r="M24" s="28">
        <v>11</v>
      </c>
      <c r="N24" s="28">
        <v>10</v>
      </c>
      <c r="O24" s="28">
        <v>9</v>
      </c>
      <c r="P24" s="29">
        <v>6</v>
      </c>
      <c r="Q24" s="29">
        <v>5</v>
      </c>
      <c r="R24" s="29">
        <v>4</v>
      </c>
      <c r="S24" s="29">
        <v>3</v>
      </c>
      <c r="T24" s="28"/>
      <c r="U24" s="28"/>
      <c r="V24" s="28"/>
      <c r="W24" s="28"/>
    </row>
    <row r="25" spans="1:23" ht="15.75" customHeight="1">
      <c r="A25" s="33" t="s">
        <v>109</v>
      </c>
      <c r="B25" s="34">
        <v>3.9000207464382798E-2</v>
      </c>
      <c r="C25" s="35">
        <f t="shared" si="0"/>
        <v>3355.42</v>
      </c>
      <c r="D25" s="28"/>
      <c r="E25" s="28"/>
      <c r="F25" s="28"/>
      <c r="G25" s="28"/>
      <c r="H25" s="29"/>
      <c r="I25" s="29"/>
      <c r="J25" s="29">
        <v>16</v>
      </c>
      <c r="K25" s="29">
        <v>15</v>
      </c>
      <c r="L25" s="28">
        <v>13</v>
      </c>
      <c r="M25" s="28">
        <v>12</v>
      </c>
      <c r="N25" s="28">
        <v>11</v>
      </c>
      <c r="O25" s="28">
        <v>10</v>
      </c>
      <c r="P25" s="29">
        <v>7</v>
      </c>
      <c r="Q25" s="29">
        <v>6</v>
      </c>
      <c r="R25" s="29">
        <v>5</v>
      </c>
      <c r="S25" s="29">
        <v>4</v>
      </c>
      <c r="T25" s="28"/>
      <c r="U25" s="28"/>
      <c r="V25" s="28"/>
      <c r="W25" s="28"/>
    </row>
    <row r="26" spans="1:23" ht="15.75" customHeight="1">
      <c r="A26" s="33" t="s">
        <v>110</v>
      </c>
      <c r="B26" s="34">
        <v>3.9002568977952103E-2</v>
      </c>
      <c r="C26" s="35">
        <f t="shared" si="0"/>
        <v>3486.29</v>
      </c>
      <c r="D26" s="28"/>
      <c r="E26" s="28"/>
      <c r="F26" s="28"/>
      <c r="G26" s="28"/>
      <c r="H26" s="29"/>
      <c r="I26" s="29"/>
      <c r="J26" s="29"/>
      <c r="K26" s="29">
        <v>16</v>
      </c>
      <c r="L26" s="28">
        <v>14</v>
      </c>
      <c r="M26" s="28">
        <v>13</v>
      </c>
      <c r="N26" s="28">
        <v>12</v>
      </c>
      <c r="O26" s="28">
        <v>11</v>
      </c>
      <c r="P26" s="29">
        <v>8</v>
      </c>
      <c r="Q26" s="29">
        <v>7</v>
      </c>
      <c r="R26" s="29">
        <v>6</v>
      </c>
      <c r="S26" s="29">
        <v>5</v>
      </c>
      <c r="T26" s="28"/>
      <c r="U26" s="28"/>
      <c r="V26" s="28"/>
      <c r="W26" s="28"/>
    </row>
    <row r="27" spans="1:23" ht="15.75" customHeight="1">
      <c r="A27" s="33" t="s">
        <v>111</v>
      </c>
      <c r="B27" s="34">
        <v>3.9001345269613297E-2</v>
      </c>
      <c r="C27" s="35">
        <f t="shared" si="0"/>
        <v>3622.26</v>
      </c>
      <c r="D27" s="28"/>
      <c r="E27" s="28"/>
      <c r="F27" s="28"/>
      <c r="G27" s="28"/>
      <c r="H27" s="29"/>
      <c r="I27" s="29"/>
      <c r="J27" s="29"/>
      <c r="K27" s="29"/>
      <c r="L27" s="28">
        <v>15</v>
      </c>
      <c r="M27" s="28">
        <v>14</v>
      </c>
      <c r="N27" s="28">
        <v>13</v>
      </c>
      <c r="O27" s="28">
        <v>12</v>
      </c>
      <c r="P27" s="29">
        <v>9</v>
      </c>
      <c r="Q27" s="29">
        <v>8</v>
      </c>
      <c r="R27" s="29">
        <v>7</v>
      </c>
      <c r="S27" s="29">
        <v>6</v>
      </c>
      <c r="T27" s="28"/>
      <c r="U27" s="28"/>
      <c r="V27" s="28"/>
      <c r="W27" s="28"/>
    </row>
    <row r="28" spans="1:23" ht="15.75" customHeight="1">
      <c r="A28" s="33" t="s">
        <v>112</v>
      </c>
      <c r="B28" s="34">
        <v>3.8997752784173299E-2</v>
      </c>
      <c r="C28" s="35">
        <f t="shared" si="0"/>
        <v>3763.52</v>
      </c>
      <c r="D28" s="28"/>
      <c r="E28" s="28"/>
      <c r="F28" s="28"/>
      <c r="G28" s="28"/>
      <c r="H28" s="29"/>
      <c r="I28" s="29"/>
      <c r="J28" s="29"/>
      <c r="K28" s="29"/>
      <c r="L28" s="28">
        <v>16</v>
      </c>
      <c r="M28" s="28">
        <v>15</v>
      </c>
      <c r="N28" s="28">
        <v>14</v>
      </c>
      <c r="O28" s="28">
        <v>13</v>
      </c>
      <c r="P28" s="29">
        <v>10</v>
      </c>
      <c r="Q28" s="29">
        <v>9</v>
      </c>
      <c r="R28" s="29">
        <v>8</v>
      </c>
      <c r="S28" s="29">
        <v>7</v>
      </c>
      <c r="T28" s="28"/>
      <c r="U28" s="28"/>
      <c r="V28" s="28"/>
      <c r="W28" s="28"/>
    </row>
    <row r="29" spans="1:23" ht="15.75" customHeight="1">
      <c r="A29" s="33" t="s">
        <v>113</v>
      </c>
      <c r="B29" s="34">
        <v>3.9000722727659302E-2</v>
      </c>
      <c r="C29" s="35">
        <f t="shared" si="0"/>
        <v>3910.3</v>
      </c>
      <c r="D29" s="28"/>
      <c r="E29" s="28"/>
      <c r="F29" s="28"/>
      <c r="G29" s="28"/>
      <c r="H29" s="29"/>
      <c r="I29" s="29"/>
      <c r="J29" s="29"/>
      <c r="K29" s="29"/>
      <c r="L29" s="28"/>
      <c r="M29" s="28">
        <v>16</v>
      </c>
      <c r="N29" s="28">
        <v>15</v>
      </c>
      <c r="O29" s="28">
        <v>14</v>
      </c>
      <c r="P29" s="29">
        <v>11</v>
      </c>
      <c r="Q29" s="29">
        <v>10</v>
      </c>
      <c r="R29" s="29">
        <v>9</v>
      </c>
      <c r="S29" s="29">
        <v>8</v>
      </c>
      <c r="T29" s="28"/>
      <c r="U29" s="28"/>
      <c r="V29" s="28"/>
      <c r="W29" s="28"/>
    </row>
    <row r="30" spans="1:23" ht="15.75" customHeight="1">
      <c r="A30" s="33" t="s">
        <v>114</v>
      </c>
      <c r="B30" s="34">
        <v>3.8999565250747999E-2</v>
      </c>
      <c r="C30" s="35">
        <f t="shared" si="0"/>
        <v>4062.8</v>
      </c>
      <c r="D30" s="28"/>
      <c r="E30" s="28"/>
      <c r="F30" s="28"/>
      <c r="G30" s="28"/>
      <c r="H30" s="29"/>
      <c r="I30" s="29"/>
      <c r="J30" s="29"/>
      <c r="K30" s="29"/>
      <c r="L30" s="28"/>
      <c r="M30" s="28"/>
      <c r="N30" s="28">
        <v>16</v>
      </c>
      <c r="O30" s="28">
        <v>15</v>
      </c>
      <c r="P30" s="29">
        <v>12</v>
      </c>
      <c r="Q30" s="29">
        <v>11</v>
      </c>
      <c r="R30" s="29">
        <v>10</v>
      </c>
      <c r="S30" s="29">
        <v>9</v>
      </c>
      <c r="T30" s="28"/>
      <c r="U30" s="28"/>
      <c r="V30" s="28"/>
      <c r="W30" s="28"/>
    </row>
    <row r="31" spans="1:23" ht="15.75" customHeight="1">
      <c r="A31" s="33" t="s">
        <v>115</v>
      </c>
      <c r="B31" s="34">
        <v>3.8997735551836103E-2</v>
      </c>
      <c r="C31" s="35">
        <f t="shared" si="0"/>
        <v>4221.24</v>
      </c>
      <c r="D31" s="28"/>
      <c r="E31" s="28"/>
      <c r="F31" s="28"/>
      <c r="G31" s="28"/>
      <c r="H31" s="29"/>
      <c r="I31" s="29"/>
      <c r="J31" s="29"/>
      <c r="K31" s="29"/>
      <c r="L31" s="28"/>
      <c r="M31" s="28"/>
      <c r="N31" s="28"/>
      <c r="O31" s="28">
        <v>16</v>
      </c>
      <c r="P31" s="29">
        <v>13</v>
      </c>
      <c r="Q31" s="29">
        <v>12</v>
      </c>
      <c r="R31" s="29">
        <v>11</v>
      </c>
      <c r="S31" s="29">
        <v>10</v>
      </c>
      <c r="T31" s="28"/>
      <c r="U31" s="28"/>
      <c r="V31" s="28"/>
      <c r="W31" s="28"/>
    </row>
    <row r="32" spans="1:23" ht="15.75" customHeight="1">
      <c r="A32" s="33" t="s">
        <v>116</v>
      </c>
      <c r="B32" s="34">
        <v>3.9002757483583103E-2</v>
      </c>
      <c r="C32" s="35">
        <f t="shared" si="0"/>
        <v>4385.88</v>
      </c>
      <c r="D32" s="28"/>
      <c r="E32" s="28"/>
      <c r="F32" s="28"/>
      <c r="G32" s="28"/>
      <c r="H32" s="29"/>
      <c r="I32" s="29"/>
      <c r="J32" s="29"/>
      <c r="K32" s="29"/>
      <c r="L32" s="28"/>
      <c r="M32" s="28"/>
      <c r="N32" s="28"/>
      <c r="O32" s="28"/>
      <c r="P32" s="29">
        <v>14</v>
      </c>
      <c r="Q32" s="29">
        <v>13</v>
      </c>
      <c r="R32" s="29">
        <v>12</v>
      </c>
      <c r="S32" s="29">
        <v>11</v>
      </c>
      <c r="T32" s="28"/>
      <c r="U32" s="28"/>
      <c r="V32" s="28"/>
      <c r="W32" s="28"/>
    </row>
    <row r="33" spans="1:23" ht="15.75" customHeight="1">
      <c r="A33" s="33" t="s">
        <v>117</v>
      </c>
      <c r="B33" s="34">
        <v>3.8997874998859997E-2</v>
      </c>
      <c r="C33" s="35">
        <f t="shared" si="0"/>
        <v>4556.92</v>
      </c>
      <c r="D33" s="28"/>
      <c r="E33" s="28"/>
      <c r="F33" s="28"/>
      <c r="G33" s="28"/>
      <c r="H33" s="29"/>
      <c r="I33" s="29"/>
      <c r="J33" s="29"/>
      <c r="K33" s="29"/>
      <c r="L33" s="28"/>
      <c r="M33" s="28"/>
      <c r="N33" s="28"/>
      <c r="O33" s="28"/>
      <c r="P33" s="29">
        <v>15</v>
      </c>
      <c r="Q33" s="29">
        <v>14</v>
      </c>
      <c r="R33" s="29">
        <v>13</v>
      </c>
      <c r="S33" s="29">
        <v>12</v>
      </c>
      <c r="T33" s="28">
        <v>1</v>
      </c>
      <c r="U33" s="28"/>
      <c r="V33" s="28"/>
      <c r="W33" s="28"/>
    </row>
    <row r="34" spans="1:23" ht="15.75" customHeight="1">
      <c r="A34" s="33" t="s">
        <v>118</v>
      </c>
      <c r="B34" s="34">
        <v>3.9000026333576202E-2</v>
      </c>
      <c r="C34" s="35">
        <f t="shared" si="0"/>
        <v>4734.6400000000003</v>
      </c>
      <c r="D34" s="28"/>
      <c r="E34" s="28"/>
      <c r="F34" s="28"/>
      <c r="G34" s="28"/>
      <c r="H34" s="29"/>
      <c r="I34" s="29"/>
      <c r="J34" s="29"/>
      <c r="K34" s="29"/>
      <c r="L34" s="28"/>
      <c r="M34" s="28"/>
      <c r="N34" s="28"/>
      <c r="O34" s="28"/>
      <c r="P34" s="29">
        <v>16</v>
      </c>
      <c r="Q34" s="29">
        <v>15</v>
      </c>
      <c r="R34" s="29">
        <v>14</v>
      </c>
      <c r="S34" s="29">
        <v>13</v>
      </c>
      <c r="T34" s="28">
        <v>2</v>
      </c>
      <c r="U34" s="28">
        <v>1</v>
      </c>
      <c r="V34" s="28"/>
      <c r="W34" s="28"/>
    </row>
    <row r="35" spans="1:23" ht="15.75" customHeight="1">
      <c r="A35" s="33" t="s">
        <v>119</v>
      </c>
      <c r="B35" s="34">
        <v>3.9001909332071698E-2</v>
      </c>
      <c r="C35" s="35">
        <f t="shared" si="0"/>
        <v>4919.3</v>
      </c>
      <c r="D35" s="28"/>
      <c r="E35" s="28"/>
      <c r="F35" s="28"/>
      <c r="G35" s="28"/>
      <c r="H35" s="29"/>
      <c r="I35" s="29"/>
      <c r="J35" s="29"/>
      <c r="K35" s="29"/>
      <c r="L35" s="28"/>
      <c r="M35" s="28"/>
      <c r="N35" s="28"/>
      <c r="O35" s="28"/>
      <c r="P35" s="29"/>
      <c r="Q35" s="29">
        <v>16</v>
      </c>
      <c r="R35" s="29">
        <v>15</v>
      </c>
      <c r="S35" s="29">
        <v>14</v>
      </c>
      <c r="T35" s="28">
        <v>3</v>
      </c>
      <c r="U35" s="28">
        <v>2</v>
      </c>
      <c r="V35" s="28">
        <v>1</v>
      </c>
      <c r="W35" s="28"/>
    </row>
    <row r="36" spans="1:23" ht="15.75" customHeight="1">
      <c r="A36" s="33" t="s">
        <v>120</v>
      </c>
      <c r="B36" s="34">
        <v>3.8999451141422399E-2</v>
      </c>
      <c r="C36" s="35">
        <f t="shared" si="0"/>
        <v>5111.1499999999996</v>
      </c>
      <c r="D36" s="28"/>
      <c r="E36" s="28"/>
      <c r="F36" s="28"/>
      <c r="G36" s="28"/>
      <c r="H36" s="29"/>
      <c r="I36" s="29"/>
      <c r="J36" s="29"/>
      <c r="K36" s="29"/>
      <c r="L36" s="28"/>
      <c r="M36" s="28"/>
      <c r="N36" s="28"/>
      <c r="O36" s="28"/>
      <c r="P36" s="29"/>
      <c r="Q36" s="29"/>
      <c r="R36" s="29">
        <v>16</v>
      </c>
      <c r="S36" s="29">
        <v>15</v>
      </c>
      <c r="T36" s="28">
        <v>4</v>
      </c>
      <c r="U36" s="28">
        <v>3</v>
      </c>
      <c r="V36" s="28">
        <v>2</v>
      </c>
      <c r="W36" s="28">
        <v>1</v>
      </c>
    </row>
    <row r="37" spans="1:23" ht="15.75" customHeight="1">
      <c r="A37" s="33" t="s">
        <v>121</v>
      </c>
      <c r="B37" s="34">
        <v>3.8999051094176403E-2</v>
      </c>
      <c r="C37" s="35">
        <f t="shared" si="0"/>
        <v>5310.48</v>
      </c>
      <c r="D37" s="28"/>
      <c r="E37" s="28"/>
      <c r="F37" s="28"/>
      <c r="G37" s="28"/>
      <c r="H37" s="29"/>
      <c r="I37" s="29"/>
      <c r="J37" s="29"/>
      <c r="K37" s="29"/>
      <c r="L37" s="28"/>
      <c r="M37" s="28"/>
      <c r="N37" s="28"/>
      <c r="O37" s="28"/>
      <c r="P37" s="29"/>
      <c r="Q37" s="29"/>
      <c r="R37" s="29"/>
      <c r="S37" s="29">
        <v>16</v>
      </c>
      <c r="T37" s="28">
        <v>5</v>
      </c>
      <c r="U37" s="28">
        <v>4</v>
      </c>
      <c r="V37" s="28">
        <v>3</v>
      </c>
      <c r="W37" s="28">
        <v>2</v>
      </c>
    </row>
    <row r="38" spans="1:23" ht="15.75" customHeight="1">
      <c r="A38" s="33" t="s">
        <v>122</v>
      </c>
      <c r="B38" s="34">
        <v>3.9000241032825803E-2</v>
      </c>
      <c r="C38" s="35">
        <f t="shared" si="0"/>
        <v>5517.59</v>
      </c>
      <c r="D38" s="28"/>
      <c r="E38" s="28"/>
      <c r="F38" s="28"/>
      <c r="G38" s="28"/>
      <c r="H38" s="29"/>
      <c r="I38" s="29"/>
      <c r="J38" s="29"/>
      <c r="K38" s="29"/>
      <c r="L38" s="28"/>
      <c r="M38" s="28"/>
      <c r="N38" s="28"/>
      <c r="O38" s="28"/>
      <c r="P38" s="29"/>
      <c r="Q38" s="29"/>
      <c r="R38" s="29"/>
      <c r="S38" s="29"/>
      <c r="T38" s="28">
        <v>6</v>
      </c>
      <c r="U38" s="28">
        <v>5</v>
      </c>
      <c r="V38" s="28">
        <v>4</v>
      </c>
      <c r="W38" s="28">
        <v>3</v>
      </c>
    </row>
    <row r="39" spans="1:23" ht="15.75" customHeight="1">
      <c r="A39" s="33" t="s">
        <v>123</v>
      </c>
      <c r="B39" s="34">
        <v>3.9000723141806401E-2</v>
      </c>
      <c r="C39" s="35">
        <f t="shared" si="0"/>
        <v>5732.78</v>
      </c>
      <c r="D39" s="28"/>
      <c r="E39" s="28"/>
      <c r="F39" s="28"/>
      <c r="G39" s="28"/>
      <c r="H39" s="29"/>
      <c r="I39" s="29"/>
      <c r="J39" s="29"/>
      <c r="K39" s="29"/>
      <c r="L39" s="28"/>
      <c r="M39" s="28"/>
      <c r="N39" s="28"/>
      <c r="O39" s="28"/>
      <c r="P39" s="29"/>
      <c r="Q39" s="29"/>
      <c r="R39" s="29"/>
      <c r="S39" s="29"/>
      <c r="T39" s="28">
        <v>7</v>
      </c>
      <c r="U39" s="28">
        <v>6</v>
      </c>
      <c r="V39" s="28">
        <v>5</v>
      </c>
      <c r="W39" s="28">
        <v>4</v>
      </c>
    </row>
    <row r="40" spans="1:23" ht="15.75" customHeight="1">
      <c r="A40" s="33" t="s">
        <v>124</v>
      </c>
      <c r="B40" s="34">
        <v>3.9000275607994697E-2</v>
      </c>
      <c r="C40" s="35">
        <f t="shared" si="0"/>
        <v>5956.36</v>
      </c>
      <c r="D40" s="28"/>
      <c r="E40" s="28"/>
      <c r="F40" s="28"/>
      <c r="G40" s="28"/>
      <c r="H40" s="29"/>
      <c r="I40" s="29"/>
      <c r="J40" s="29"/>
      <c r="K40" s="29"/>
      <c r="L40" s="28"/>
      <c r="M40" s="28"/>
      <c r="N40" s="28"/>
      <c r="O40" s="28"/>
      <c r="P40" s="29"/>
      <c r="Q40" s="29"/>
      <c r="R40" s="29"/>
      <c r="S40" s="29"/>
      <c r="T40" s="28">
        <v>8</v>
      </c>
      <c r="U40" s="28">
        <v>7</v>
      </c>
      <c r="V40" s="28">
        <v>6</v>
      </c>
      <c r="W40" s="28">
        <v>5</v>
      </c>
    </row>
    <row r="41" spans="1:23" ht="15.75" customHeight="1">
      <c r="A41" s="33" t="s">
        <v>125</v>
      </c>
      <c r="B41" s="34">
        <v>3.8998650182326101E-2</v>
      </c>
      <c r="C41" s="35">
        <f t="shared" si="0"/>
        <v>6188.65</v>
      </c>
      <c r="D41" s="28"/>
      <c r="E41" s="28"/>
      <c r="F41" s="28"/>
      <c r="G41" s="28"/>
      <c r="H41" s="29"/>
      <c r="I41" s="29"/>
      <c r="J41" s="29"/>
      <c r="K41" s="29"/>
      <c r="L41" s="28"/>
      <c r="M41" s="28"/>
      <c r="N41" s="28"/>
      <c r="O41" s="28"/>
      <c r="P41" s="29"/>
      <c r="Q41" s="29"/>
      <c r="R41" s="29"/>
      <c r="S41" s="29"/>
      <c r="T41" s="28">
        <v>9</v>
      </c>
      <c r="U41" s="28">
        <v>8</v>
      </c>
      <c r="V41" s="28">
        <v>7</v>
      </c>
      <c r="W41" s="28">
        <v>6</v>
      </c>
    </row>
    <row r="42" spans="1:23" ht="15.75" customHeight="1">
      <c r="A42" s="33" t="s">
        <v>126</v>
      </c>
      <c r="B42" s="34">
        <v>3.90004282032431E-2</v>
      </c>
      <c r="C42" s="35">
        <f t="shared" si="0"/>
        <v>6430.01</v>
      </c>
      <c r="D42" s="28"/>
      <c r="E42" s="28"/>
      <c r="F42" s="28"/>
      <c r="G42" s="28"/>
      <c r="H42" s="29"/>
      <c r="I42" s="29"/>
      <c r="J42" s="29"/>
      <c r="K42" s="29"/>
      <c r="L42" s="28"/>
      <c r="M42" s="28"/>
      <c r="N42" s="28"/>
      <c r="O42" s="28"/>
      <c r="P42" s="29"/>
      <c r="Q42" s="29"/>
      <c r="R42" s="29"/>
      <c r="S42" s="29"/>
      <c r="T42" s="28">
        <v>10</v>
      </c>
      <c r="U42" s="28">
        <v>9</v>
      </c>
      <c r="V42" s="28">
        <v>8</v>
      </c>
      <c r="W42" s="28">
        <v>7</v>
      </c>
    </row>
    <row r="43" spans="1:23" ht="15.75" customHeight="1">
      <c r="A43" s="33" t="s">
        <v>127</v>
      </c>
      <c r="B43" s="34">
        <v>3.8999939346906098E-2</v>
      </c>
      <c r="C43" s="35">
        <f t="shared" si="0"/>
        <v>6680.78</v>
      </c>
      <c r="D43" s="28"/>
      <c r="E43" s="28"/>
      <c r="F43" s="28"/>
      <c r="G43" s="28"/>
      <c r="H43" s="29"/>
      <c r="I43" s="29"/>
      <c r="J43" s="29"/>
      <c r="K43" s="29"/>
      <c r="L43" s="28"/>
      <c r="M43" s="28"/>
      <c r="N43" s="28"/>
      <c r="O43" s="28"/>
      <c r="P43" s="29"/>
      <c r="Q43" s="29"/>
      <c r="R43" s="29"/>
      <c r="S43" s="29"/>
      <c r="T43" s="28">
        <v>11</v>
      </c>
      <c r="U43" s="28">
        <v>10</v>
      </c>
      <c r="V43" s="28">
        <v>9</v>
      </c>
      <c r="W43" s="28">
        <v>8</v>
      </c>
    </row>
    <row r="44" spans="1:23" ht="15.75" customHeight="1">
      <c r="A44" s="33" t="s">
        <v>128</v>
      </c>
      <c r="B44" s="34">
        <v>3.9001433964297602E-2</v>
      </c>
      <c r="C44" s="35">
        <f t="shared" si="0"/>
        <v>6941.34</v>
      </c>
      <c r="D44" s="28"/>
      <c r="E44" s="28"/>
      <c r="F44" s="28"/>
      <c r="G44" s="28"/>
      <c r="H44" s="29"/>
      <c r="I44" s="29"/>
      <c r="J44" s="29"/>
      <c r="K44" s="29"/>
      <c r="L44" s="28"/>
      <c r="M44" s="28"/>
      <c r="N44" s="28"/>
      <c r="O44" s="28"/>
      <c r="P44" s="29"/>
      <c r="Q44" s="29"/>
      <c r="R44" s="29"/>
      <c r="S44" s="29"/>
      <c r="T44" s="28">
        <v>12</v>
      </c>
      <c r="U44" s="28">
        <v>11</v>
      </c>
      <c r="V44" s="28">
        <v>10</v>
      </c>
      <c r="W44" s="28">
        <v>9</v>
      </c>
    </row>
    <row r="45" spans="1:23" ht="15.75" customHeight="1">
      <c r="A45" s="33" t="s">
        <v>129</v>
      </c>
      <c r="B45" s="34">
        <v>3.8999674414450201E-2</v>
      </c>
      <c r="C45" s="35">
        <f t="shared" si="0"/>
        <v>7212.05</v>
      </c>
      <c r="D45" s="28"/>
      <c r="E45" s="28"/>
      <c r="F45" s="28"/>
      <c r="G45" s="28"/>
      <c r="H45" s="29"/>
      <c r="I45" s="29"/>
      <c r="J45" s="29"/>
      <c r="K45" s="29"/>
      <c r="L45" s="28"/>
      <c r="M45" s="28"/>
      <c r="N45" s="28"/>
      <c r="O45" s="28"/>
      <c r="P45" s="29"/>
      <c r="Q45" s="29"/>
      <c r="R45" s="29"/>
      <c r="S45" s="29"/>
      <c r="T45" s="28">
        <v>13</v>
      </c>
      <c r="U45" s="28">
        <v>12</v>
      </c>
      <c r="V45" s="28">
        <v>11</v>
      </c>
      <c r="W45" s="28">
        <v>10</v>
      </c>
    </row>
    <row r="46" spans="1:23" ht="15.75" customHeight="1">
      <c r="A46" s="33" t="s">
        <v>130</v>
      </c>
      <c r="B46" s="34">
        <v>3.8998620364528801E-2</v>
      </c>
      <c r="C46" s="35">
        <f t="shared" si="0"/>
        <v>7493.31</v>
      </c>
      <c r="D46" s="28"/>
      <c r="E46" s="28"/>
      <c r="F46" s="28"/>
      <c r="G46" s="28"/>
      <c r="H46" s="29"/>
      <c r="I46" s="29"/>
      <c r="J46" s="29"/>
      <c r="K46" s="29"/>
      <c r="L46" s="28"/>
      <c r="M46" s="28"/>
      <c r="N46" s="28"/>
      <c r="O46" s="28"/>
      <c r="P46" s="29"/>
      <c r="Q46" s="29"/>
      <c r="R46" s="29"/>
      <c r="S46" s="29"/>
      <c r="T46" s="28">
        <v>14</v>
      </c>
      <c r="U46" s="28">
        <v>13</v>
      </c>
      <c r="V46" s="28">
        <v>12</v>
      </c>
      <c r="W46" s="28">
        <v>11</v>
      </c>
    </row>
    <row r="47" spans="1:23" ht="15.75" customHeight="1">
      <c r="A47" s="33" t="s">
        <v>131</v>
      </c>
      <c r="B47" s="34">
        <v>3.9000121441659298E-2</v>
      </c>
      <c r="C47" s="35">
        <f t="shared" si="0"/>
        <v>7785.55</v>
      </c>
      <c r="D47" s="28"/>
      <c r="E47" s="28"/>
      <c r="F47" s="28"/>
      <c r="G47" s="28"/>
      <c r="H47" s="29"/>
      <c r="I47" s="29"/>
      <c r="J47" s="29"/>
      <c r="K47" s="29"/>
      <c r="L47" s="28"/>
      <c r="M47" s="28"/>
      <c r="N47" s="28"/>
      <c r="O47" s="28"/>
      <c r="P47" s="29"/>
      <c r="Q47" s="29"/>
      <c r="R47" s="29"/>
      <c r="S47" s="29"/>
      <c r="T47" s="28">
        <v>15</v>
      </c>
      <c r="U47" s="28">
        <v>14</v>
      </c>
      <c r="V47" s="28">
        <v>13</v>
      </c>
      <c r="W47" s="28">
        <v>12</v>
      </c>
    </row>
    <row r="48" spans="1:23" ht="15.75" customHeight="1">
      <c r="A48" s="33" t="s">
        <v>132</v>
      </c>
      <c r="B48" s="34">
        <v>3.90017404036965E-2</v>
      </c>
      <c r="C48" s="35">
        <f t="shared" si="0"/>
        <v>8089.2</v>
      </c>
      <c r="D48" s="28"/>
      <c r="E48" s="28"/>
      <c r="F48" s="28"/>
      <c r="G48" s="28"/>
      <c r="H48" s="29"/>
      <c r="I48" s="29"/>
      <c r="J48" s="29"/>
      <c r="K48" s="29"/>
      <c r="L48" s="28"/>
      <c r="M48" s="28"/>
      <c r="N48" s="28"/>
      <c r="O48" s="28"/>
      <c r="P48" s="29"/>
      <c r="Q48" s="29"/>
      <c r="R48" s="29"/>
      <c r="S48" s="29"/>
      <c r="T48" s="28">
        <v>16</v>
      </c>
      <c r="U48" s="28">
        <v>15</v>
      </c>
      <c r="V48" s="28">
        <v>14</v>
      </c>
      <c r="W48" s="28">
        <v>13</v>
      </c>
    </row>
    <row r="49" spans="1:23" ht="15.75" customHeight="1">
      <c r="A49" s="33" t="s">
        <v>133</v>
      </c>
      <c r="B49" s="34">
        <v>3.8998912129753302E-2</v>
      </c>
      <c r="C49" s="35">
        <f t="shared" si="0"/>
        <v>8404.67</v>
      </c>
      <c r="D49" s="28"/>
      <c r="E49" s="28"/>
      <c r="F49" s="28"/>
      <c r="G49" s="28"/>
      <c r="H49" s="29"/>
      <c r="I49" s="29"/>
      <c r="J49" s="29"/>
      <c r="K49" s="29"/>
      <c r="L49" s="28"/>
      <c r="M49" s="28"/>
      <c r="N49" s="28"/>
      <c r="O49" s="28"/>
      <c r="P49" s="29"/>
      <c r="Q49" s="29"/>
      <c r="R49" s="29"/>
      <c r="S49" s="29"/>
      <c r="T49" s="28"/>
      <c r="U49" s="28">
        <v>16</v>
      </c>
      <c r="V49" s="28">
        <v>15</v>
      </c>
      <c r="W49" s="28">
        <v>14</v>
      </c>
    </row>
    <row r="50" spans="1:23" ht="15.75" customHeight="1">
      <c r="A50" s="33" t="s">
        <v>134</v>
      </c>
      <c r="B50" s="34">
        <v>3.8999746569466802E-2</v>
      </c>
      <c r="C50" s="35">
        <f t="shared" si="0"/>
        <v>8732.4500000000007</v>
      </c>
      <c r="D50" s="28"/>
      <c r="E50" s="28"/>
      <c r="F50" s="28"/>
      <c r="G50" s="28"/>
      <c r="H50" s="29"/>
      <c r="I50" s="29"/>
      <c r="J50" s="29"/>
      <c r="K50" s="29"/>
      <c r="L50" s="28"/>
      <c r="M50" s="28"/>
      <c r="N50" s="28"/>
      <c r="O50" s="28"/>
      <c r="P50" s="29"/>
      <c r="Q50" s="29"/>
      <c r="R50" s="29"/>
      <c r="S50" s="29"/>
      <c r="T50" s="28"/>
      <c r="U50" s="28"/>
      <c r="V50" s="28">
        <v>16</v>
      </c>
      <c r="W50" s="28">
        <v>15</v>
      </c>
    </row>
    <row r="51" spans="1:23" ht="15.75" customHeight="1">
      <c r="A51" s="33" t="s">
        <v>135</v>
      </c>
      <c r="B51" s="34">
        <v>3.9000509593527598E-2</v>
      </c>
      <c r="C51" s="35">
        <f t="shared" si="0"/>
        <v>9073.02</v>
      </c>
      <c r="D51" s="28"/>
      <c r="E51" s="28"/>
      <c r="F51" s="28"/>
      <c r="G51" s="28"/>
      <c r="H51" s="29"/>
      <c r="I51" s="29"/>
      <c r="J51" s="29"/>
      <c r="K51" s="29"/>
      <c r="L51" s="28"/>
      <c r="M51" s="28"/>
      <c r="N51" s="28"/>
      <c r="O51" s="28"/>
      <c r="P51" s="29"/>
      <c r="Q51" s="29"/>
      <c r="R51" s="29"/>
      <c r="S51" s="29"/>
      <c r="T51" s="28"/>
      <c r="U51" s="28"/>
      <c r="V51" s="28"/>
      <c r="W51" s="28">
        <v>16</v>
      </c>
    </row>
    <row r="52" spans="1:23" ht="15.75" customHeight="1"/>
    <row r="53" spans="1:23" ht="15.75" customHeight="1"/>
    <row r="54" spans="1:23" ht="15.75" customHeight="1"/>
    <row r="55" spans="1:23" ht="15.75" customHeight="1"/>
    <row r="56" spans="1:23" ht="15.75" customHeight="1"/>
    <row r="57" spans="1:23" ht="15.75" customHeight="1"/>
    <row r="58" spans="1:23" ht="15.75" customHeight="1"/>
    <row r="59" spans="1:23" ht="15.75" customHeight="1"/>
    <row r="60" spans="1:23" ht="15.75" customHeight="1"/>
    <row r="61" spans="1:23" ht="15.75" customHeight="1"/>
    <row r="62" spans="1:23" ht="15.75" customHeight="1"/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D1:G1"/>
    <mergeCell ref="H1:K1"/>
    <mergeCell ref="L1:O1"/>
    <mergeCell ref="P1:S1"/>
    <mergeCell ref="T1:W1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L1000"/>
  <sheetViews>
    <sheetView workbookViewId="0">
      <selection activeCell="C17" sqref="C17"/>
    </sheetView>
  </sheetViews>
  <sheetFormatPr defaultColWidth="14.42578125" defaultRowHeight="15" customHeight="1"/>
  <cols>
    <col min="1" max="1" width="8.7109375" customWidth="1"/>
    <col min="2" max="2" width="12.42578125" customWidth="1"/>
    <col min="3" max="3" width="24.85546875" customWidth="1"/>
    <col min="4" max="4" width="34.85546875" customWidth="1"/>
    <col min="5" max="5" width="20" customWidth="1"/>
    <col min="6" max="6" width="16.5703125" customWidth="1"/>
    <col min="7" max="7" width="20" customWidth="1"/>
    <col min="8" max="8" width="20.5703125" customWidth="1"/>
    <col min="9" max="9" width="21.140625" customWidth="1"/>
    <col min="10" max="10" width="20.5703125" customWidth="1"/>
    <col min="11" max="11" width="19.42578125" customWidth="1"/>
    <col min="12" max="12" width="19.140625" customWidth="1"/>
  </cols>
  <sheetData>
    <row r="3" spans="2:12">
      <c r="B3" s="75" t="s">
        <v>0</v>
      </c>
      <c r="C3" s="69" t="s">
        <v>1</v>
      </c>
      <c r="D3" s="70"/>
      <c r="E3" s="69" t="s">
        <v>2</v>
      </c>
      <c r="F3" s="70"/>
      <c r="G3" s="69" t="s">
        <v>3</v>
      </c>
      <c r="H3" s="70"/>
      <c r="I3" s="69" t="s">
        <v>4</v>
      </c>
      <c r="J3" s="70"/>
      <c r="K3" s="1"/>
    </row>
    <row r="4" spans="2:12">
      <c r="B4" s="76"/>
      <c r="C4" s="2" t="s">
        <v>5</v>
      </c>
      <c r="D4" s="2" t="s">
        <v>6</v>
      </c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1"/>
    </row>
    <row r="5" spans="2:12">
      <c r="B5" s="3" t="s">
        <v>7</v>
      </c>
      <c r="C5" s="4">
        <v>5882896.8399999999</v>
      </c>
      <c r="D5" s="5">
        <v>1643</v>
      </c>
      <c r="E5" s="4">
        <v>6616047.2699999502</v>
      </c>
      <c r="F5" s="5">
        <v>2276</v>
      </c>
      <c r="G5" s="4">
        <v>2372195.3199999998</v>
      </c>
      <c r="H5" s="5">
        <v>983</v>
      </c>
      <c r="I5" s="6">
        <f t="shared" ref="I5:I11" si="0">C5+E5+G5</f>
        <v>14871139.429999951</v>
      </c>
      <c r="J5" s="7">
        <v>4902</v>
      </c>
      <c r="K5" s="1"/>
      <c r="L5" s="8"/>
    </row>
    <row r="6" spans="2:12">
      <c r="B6" s="3" t="s">
        <v>8</v>
      </c>
      <c r="C6" s="4">
        <v>12458725.380000001</v>
      </c>
      <c r="D6" s="5">
        <v>2990</v>
      </c>
      <c r="E6" s="4">
        <v>20517139.260000199</v>
      </c>
      <c r="F6" s="5">
        <v>5702</v>
      </c>
      <c r="G6" s="4">
        <v>10837113.119999999</v>
      </c>
      <c r="H6" s="5">
        <v>3599</v>
      </c>
      <c r="I6" s="6">
        <f t="shared" si="0"/>
        <v>43812977.760000199</v>
      </c>
      <c r="J6" s="7">
        <v>12291</v>
      </c>
      <c r="K6" s="1"/>
      <c r="L6" s="8"/>
    </row>
    <row r="7" spans="2:12">
      <c r="B7" s="3" t="s">
        <v>9</v>
      </c>
      <c r="C7" s="4">
        <v>83377959.369998798</v>
      </c>
      <c r="D7" s="5">
        <v>17777</v>
      </c>
      <c r="E7" s="4">
        <v>66964859.820000403</v>
      </c>
      <c r="F7" s="5">
        <v>15402</v>
      </c>
      <c r="G7" s="4">
        <v>29993121.300000001</v>
      </c>
      <c r="H7" s="5">
        <v>7802</v>
      </c>
      <c r="I7" s="6">
        <f t="shared" si="0"/>
        <v>180335940.4899992</v>
      </c>
      <c r="J7" s="7">
        <v>40981</v>
      </c>
      <c r="K7" s="1"/>
      <c r="L7" s="8"/>
    </row>
    <row r="8" spans="2:12">
      <c r="B8" s="3" t="s">
        <v>10</v>
      </c>
      <c r="C8" s="4">
        <v>332557941.06999099</v>
      </c>
      <c r="D8" s="5">
        <v>62684</v>
      </c>
      <c r="E8" s="4">
        <v>149527821.050001</v>
      </c>
      <c r="F8" s="5">
        <v>25884</v>
      </c>
      <c r="G8" s="4">
        <v>45758860.439999901</v>
      </c>
      <c r="H8" s="5">
        <v>9077</v>
      </c>
      <c r="I8" s="6">
        <f t="shared" si="0"/>
        <v>527844622.5599919</v>
      </c>
      <c r="J8" s="7">
        <v>97645</v>
      </c>
      <c r="K8" s="1"/>
      <c r="L8" s="8"/>
    </row>
    <row r="9" spans="2:12">
      <c r="B9" s="3" t="s">
        <v>11</v>
      </c>
      <c r="C9" s="4">
        <v>495454740.850016</v>
      </c>
      <c r="D9" s="5">
        <v>46073</v>
      </c>
      <c r="E9" s="4">
        <v>207347889.870002</v>
      </c>
      <c r="F9" s="5">
        <v>18331</v>
      </c>
      <c r="G9" s="4">
        <v>27980749.699999999</v>
      </c>
      <c r="H9" s="5">
        <v>3081</v>
      </c>
      <c r="I9" s="6">
        <f t="shared" si="0"/>
        <v>730783380.42001808</v>
      </c>
      <c r="J9" s="7">
        <v>67485</v>
      </c>
      <c r="K9" s="1"/>
      <c r="L9" s="8"/>
    </row>
    <row r="10" spans="2:12">
      <c r="B10" s="9" t="s">
        <v>12</v>
      </c>
      <c r="C10" s="10">
        <v>929732263.510005</v>
      </c>
      <c r="D10" s="11">
        <v>131167</v>
      </c>
      <c r="E10" s="10">
        <v>450973757.27000302</v>
      </c>
      <c r="F10" s="11">
        <v>67595</v>
      </c>
      <c r="G10" s="10">
        <v>116942039.88</v>
      </c>
      <c r="H10" s="11">
        <v>24542</v>
      </c>
      <c r="I10" s="6">
        <f t="shared" si="0"/>
        <v>1497648060.660008</v>
      </c>
      <c r="J10" s="12">
        <v>223304</v>
      </c>
      <c r="K10" s="1"/>
      <c r="L10" s="8"/>
    </row>
    <row r="11" spans="2:12">
      <c r="B11" s="13" t="s">
        <v>13</v>
      </c>
      <c r="C11" s="14">
        <f>C10*13.3</f>
        <v>12365439104.683067</v>
      </c>
      <c r="D11" s="15" t="s">
        <v>14</v>
      </c>
      <c r="E11" s="14">
        <f>E10*13</f>
        <v>5862658844.5100393</v>
      </c>
      <c r="F11" s="15" t="s">
        <v>14</v>
      </c>
      <c r="G11" s="14">
        <f>G10*13</f>
        <v>1520246518.4400001</v>
      </c>
      <c r="H11" s="15" t="s">
        <v>14</v>
      </c>
      <c r="I11" s="6">
        <f t="shared" si="0"/>
        <v>19748344467.633106</v>
      </c>
      <c r="J11" s="16" t="s">
        <v>14</v>
      </c>
      <c r="K11" s="8"/>
    </row>
    <row r="12" spans="2:12">
      <c r="B12" s="17" t="s">
        <v>15</v>
      </c>
    </row>
    <row r="13" spans="2:12">
      <c r="C13" s="18"/>
    </row>
    <row r="14" spans="2:12" ht="15" customHeight="1">
      <c r="B14" s="71" t="s">
        <v>16</v>
      </c>
      <c r="C14" s="72"/>
      <c r="D14" s="72"/>
      <c r="F14" s="71" t="s">
        <v>16</v>
      </c>
      <c r="G14" s="72"/>
      <c r="H14" s="72"/>
      <c r="I14" s="71"/>
      <c r="J14" s="72"/>
    </row>
    <row r="15" spans="2:12" ht="30">
      <c r="C15" s="19" t="s">
        <v>17</v>
      </c>
      <c r="D15" s="1" t="s">
        <v>18</v>
      </c>
      <c r="G15" s="19" t="s">
        <v>17</v>
      </c>
      <c r="H15" s="1" t="s">
        <v>18</v>
      </c>
    </row>
    <row r="16" spans="2:12">
      <c r="B16" s="19" t="s">
        <v>7</v>
      </c>
      <c r="C16" s="8">
        <f>(C5*13.3+(E5+G5)*13)*'Efeito Step Sinasefe'!L25</f>
        <v>176731864.38593811</v>
      </c>
      <c r="D16" s="8">
        <f t="shared" ref="D16:D20" si="1">(C5*13.3+(E5+G5)*13)+C16</f>
        <v>371821546.02793747</v>
      </c>
      <c r="F16" s="19" t="s">
        <v>7</v>
      </c>
      <c r="G16" s="8">
        <f>((C5-658*D5)*13.3+(E5+G5)*13)*'Efeito Step Sinasefe'!L25</f>
        <v>163706326.78382158</v>
      </c>
      <c r="H16" s="8">
        <f t="shared" ref="H16:H20" si="2">((C5-658*D5)*13.3+(E5+G5)*13)+G16</f>
        <v>344417458.2258209</v>
      </c>
    </row>
    <row r="17" spans="2:8">
      <c r="B17" s="19" t="s">
        <v>8</v>
      </c>
      <c r="C17" s="8">
        <f>(C6*13.3+(E6+G6)*13)*'Efeito Step Sinasefe'!M25</f>
        <v>329114298.64570278</v>
      </c>
      <c r="D17" s="8">
        <f t="shared" si="1"/>
        <v>902420627.13970542</v>
      </c>
      <c r="F17" s="19" t="s">
        <v>8</v>
      </c>
      <c r="G17" s="8">
        <f>((C6-658*D6)*13.3+(E6+G6)*13)*'Efeito Step Sinasefe'!M25</f>
        <v>314092956.50668532</v>
      </c>
      <c r="H17" s="8">
        <f t="shared" si="2"/>
        <v>861232599.00068784</v>
      </c>
    </row>
    <row r="18" spans="2:8">
      <c r="B18" s="19" t="s">
        <v>9</v>
      </c>
      <c r="C18" s="8">
        <f>(C7*13.3+(E7+G7)*13)*'Efeito Step Sinasefe'!N25</f>
        <v>710828560.14299476</v>
      </c>
      <c r="D18" s="8">
        <f t="shared" si="1"/>
        <v>3080209174.3239841</v>
      </c>
      <c r="F18" s="19" t="s">
        <v>9</v>
      </c>
      <c r="G18" s="8">
        <f>((C7-658*D7)*13.3+(E7+G7)*13)*'Efeito Step Sinasefe'!N25</f>
        <v>664155524.88149559</v>
      </c>
      <c r="H18" s="8">
        <f t="shared" si="2"/>
        <v>2877962501.2624846</v>
      </c>
    </row>
    <row r="19" spans="2:8">
      <c r="B19" s="19" t="s">
        <v>10</v>
      </c>
      <c r="C19" s="8">
        <f>(C8*13.3+(E8+G8)*13)*'Efeito Step Sinasefe'!O25</f>
        <v>2808248191.1379685</v>
      </c>
      <c r="D19" s="8">
        <f t="shared" si="1"/>
        <v>9769995666.7388611</v>
      </c>
      <c r="F19" s="19" t="s">
        <v>10</v>
      </c>
      <c r="G19" s="8">
        <f>((C8-658*D8)*13.3+(E8+G8)*13)*'Efeito Step Sinasefe'!O25</f>
        <v>2586963454.8505754</v>
      </c>
      <c r="H19" s="8">
        <f t="shared" si="2"/>
        <v>9000138172.8514671</v>
      </c>
    </row>
    <row r="20" spans="2:8" ht="15.75" customHeight="1">
      <c r="B20" s="19" t="s">
        <v>11</v>
      </c>
      <c r="C20" s="8">
        <f>IF(((C9*13.3+(E9+G9)*13)*'Efeito Step Sinasefe'!P25)&lt;0,0,(C9*13.3+(E9+G9)*13)*'Efeito Step Sinasefe'!P25)</f>
        <v>1114763133.2572749</v>
      </c>
      <c r="D20" s="8">
        <f t="shared" si="1"/>
        <v>10763583500.972513</v>
      </c>
      <c r="F20" s="19" t="s">
        <v>11</v>
      </c>
      <c r="G20" s="8">
        <f>IF((((C9-658*D9)*13.3+(E9+G9)*13)*'Efeito Step Sinasefe'!P25)&lt;0,0,((C9-658*D9)*13.3+(E9+G9)*13)*'Efeito Step Sinasefe'!P25)</f>
        <v>1068179602.4594655</v>
      </c>
      <c r="H20" s="8">
        <f t="shared" si="2"/>
        <v>10313796717.974705</v>
      </c>
    </row>
    <row r="21" spans="2:8" ht="15.75" customHeight="1">
      <c r="B21" s="77" t="s">
        <v>19</v>
      </c>
      <c r="C21" s="73">
        <f t="shared" ref="C21:D21" si="3">SUM(C16:C20)</f>
        <v>5139686047.5698786</v>
      </c>
      <c r="D21" s="73">
        <f t="shared" si="3"/>
        <v>24888030515.203003</v>
      </c>
      <c r="F21" s="77" t="s">
        <v>19</v>
      </c>
      <c r="G21" s="73">
        <f t="shared" ref="G21:H21" si="4">SUM(G16:G20)</f>
        <v>4797097865.4820442</v>
      </c>
      <c r="H21" s="73">
        <f t="shared" si="4"/>
        <v>23397547449.315163</v>
      </c>
    </row>
    <row r="22" spans="2:8" ht="15.75" customHeight="1">
      <c r="B22" s="72"/>
      <c r="C22" s="74"/>
      <c r="D22" s="74"/>
      <c r="F22" s="72"/>
      <c r="G22" s="74"/>
      <c r="H22" s="74"/>
    </row>
    <row r="23" spans="2:8" ht="15.75" customHeight="1">
      <c r="B23" s="19" t="s">
        <v>20</v>
      </c>
      <c r="D23" s="8"/>
      <c r="F23" s="19" t="s">
        <v>21</v>
      </c>
      <c r="H23" s="8"/>
    </row>
    <row r="24" spans="2:8" ht="15.75" customHeight="1"/>
    <row r="25" spans="2:8" ht="15.75" customHeight="1"/>
    <row r="26" spans="2:8" ht="15.75" customHeight="1"/>
    <row r="27" spans="2:8" ht="15.75" customHeight="1"/>
    <row r="28" spans="2:8" ht="15.75" customHeight="1"/>
    <row r="29" spans="2:8" ht="15.75" customHeight="1"/>
    <row r="30" spans="2:8" ht="15.75" customHeight="1"/>
    <row r="31" spans="2:8" ht="15.75" customHeight="1"/>
    <row r="32" spans="2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3:J3"/>
    <mergeCell ref="B14:D14"/>
    <mergeCell ref="F14:H14"/>
    <mergeCell ref="I14:J14"/>
    <mergeCell ref="G21:G22"/>
    <mergeCell ref="H21:H22"/>
    <mergeCell ref="C3:D3"/>
    <mergeCell ref="E3:F3"/>
    <mergeCell ref="G3:H3"/>
    <mergeCell ref="B3:B4"/>
    <mergeCell ref="B21:B22"/>
    <mergeCell ref="C21:C22"/>
    <mergeCell ref="D21:D22"/>
    <mergeCell ref="F21:F22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L1000"/>
  <sheetViews>
    <sheetView workbookViewId="0">
      <selection activeCell="A5" sqref="A5"/>
    </sheetView>
  </sheetViews>
  <sheetFormatPr defaultColWidth="14.42578125" defaultRowHeight="15" customHeight="1"/>
  <cols>
    <col min="1" max="1" width="8.7109375" customWidth="1"/>
    <col min="2" max="2" width="12.42578125" customWidth="1"/>
    <col min="3" max="3" width="24.85546875" customWidth="1"/>
    <col min="4" max="4" width="34.85546875" customWidth="1"/>
    <col min="5" max="5" width="20" customWidth="1"/>
    <col min="6" max="6" width="16.5703125" customWidth="1"/>
    <col min="7" max="7" width="20" customWidth="1"/>
    <col min="8" max="8" width="20.5703125" customWidth="1"/>
    <col min="9" max="9" width="21.140625" customWidth="1"/>
    <col min="10" max="10" width="20.5703125" customWidth="1"/>
    <col min="11" max="11" width="19.42578125" customWidth="1"/>
    <col min="12" max="12" width="19.140625" customWidth="1"/>
  </cols>
  <sheetData>
    <row r="3" spans="2:12">
      <c r="B3" s="75" t="s">
        <v>0</v>
      </c>
      <c r="C3" s="69" t="s">
        <v>1</v>
      </c>
      <c r="D3" s="70"/>
      <c r="E3" s="69" t="s">
        <v>2</v>
      </c>
      <c r="F3" s="70"/>
      <c r="G3" s="69" t="s">
        <v>3</v>
      </c>
      <c r="H3" s="70"/>
      <c r="I3" s="69" t="s">
        <v>4</v>
      </c>
      <c r="J3" s="70"/>
      <c r="K3" s="1"/>
    </row>
    <row r="4" spans="2:12">
      <c r="B4" s="76"/>
      <c r="C4" s="2" t="s">
        <v>5</v>
      </c>
      <c r="D4" s="2" t="s">
        <v>6</v>
      </c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1"/>
    </row>
    <row r="5" spans="2:12">
      <c r="B5" s="3" t="s">
        <v>7</v>
      </c>
      <c r="C5" s="4">
        <v>5882896.8399999999</v>
      </c>
      <c r="D5" s="5">
        <v>1643</v>
      </c>
      <c r="E5" s="4">
        <v>6616047.2699999502</v>
      </c>
      <c r="F5" s="5">
        <v>2276</v>
      </c>
      <c r="G5" s="4">
        <v>2372195.3199999998</v>
      </c>
      <c r="H5" s="5">
        <v>983</v>
      </c>
      <c r="I5" s="6">
        <f t="shared" ref="I5:I11" si="0">C5+E5+G5</f>
        <v>14871139.429999951</v>
      </c>
      <c r="J5" s="7">
        <v>4902</v>
      </c>
      <c r="K5" s="1"/>
      <c r="L5" s="8"/>
    </row>
    <row r="6" spans="2:12">
      <c r="B6" s="3" t="s">
        <v>8</v>
      </c>
      <c r="C6" s="4">
        <v>12458725.380000001</v>
      </c>
      <c r="D6" s="5">
        <v>2990</v>
      </c>
      <c r="E6" s="4">
        <v>20517139.260000199</v>
      </c>
      <c r="F6" s="5">
        <v>5702</v>
      </c>
      <c r="G6" s="4">
        <v>10837113.119999999</v>
      </c>
      <c r="H6" s="5">
        <v>3599</v>
      </c>
      <c r="I6" s="6">
        <f t="shared" si="0"/>
        <v>43812977.760000199</v>
      </c>
      <c r="J6" s="7">
        <v>12291</v>
      </c>
      <c r="K6" s="1"/>
      <c r="L6" s="8"/>
    </row>
    <row r="7" spans="2:12">
      <c r="B7" s="3" t="s">
        <v>9</v>
      </c>
      <c r="C7" s="4">
        <v>83377959.369998798</v>
      </c>
      <c r="D7" s="5">
        <v>17777</v>
      </c>
      <c r="E7" s="4">
        <v>66964859.820000403</v>
      </c>
      <c r="F7" s="5">
        <v>15402</v>
      </c>
      <c r="G7" s="4">
        <v>29993121.300000001</v>
      </c>
      <c r="H7" s="5">
        <v>7802</v>
      </c>
      <c r="I7" s="6">
        <f t="shared" si="0"/>
        <v>180335940.4899992</v>
      </c>
      <c r="J7" s="7">
        <v>40981</v>
      </c>
      <c r="K7" s="1"/>
      <c r="L7" s="8"/>
    </row>
    <row r="8" spans="2:12">
      <c r="B8" s="3" t="s">
        <v>10</v>
      </c>
      <c r="C8" s="4">
        <v>332557941.06999099</v>
      </c>
      <c r="D8" s="5">
        <v>62684</v>
      </c>
      <c r="E8" s="4">
        <v>149527821.050001</v>
      </c>
      <c r="F8" s="5">
        <v>25884</v>
      </c>
      <c r="G8" s="4">
        <v>45758860.439999901</v>
      </c>
      <c r="H8" s="5">
        <v>9077</v>
      </c>
      <c r="I8" s="6">
        <f t="shared" si="0"/>
        <v>527844622.5599919</v>
      </c>
      <c r="J8" s="7">
        <v>97645</v>
      </c>
      <c r="K8" s="1"/>
      <c r="L8" s="8"/>
    </row>
    <row r="9" spans="2:12">
      <c r="B9" s="3" t="s">
        <v>11</v>
      </c>
      <c r="C9" s="4">
        <v>495454740.850016</v>
      </c>
      <c r="D9" s="5">
        <v>46073</v>
      </c>
      <c r="E9" s="4">
        <v>207347889.870002</v>
      </c>
      <c r="F9" s="5">
        <v>18331</v>
      </c>
      <c r="G9" s="4">
        <v>27980749.699999999</v>
      </c>
      <c r="H9" s="5">
        <v>3081</v>
      </c>
      <c r="I9" s="6">
        <f t="shared" si="0"/>
        <v>730783380.42001808</v>
      </c>
      <c r="J9" s="7">
        <v>67485</v>
      </c>
      <c r="K9" s="1"/>
      <c r="L9" s="8"/>
    </row>
    <row r="10" spans="2:12">
      <c r="B10" s="9" t="s">
        <v>12</v>
      </c>
      <c r="C10" s="10">
        <v>929732263.510005</v>
      </c>
      <c r="D10" s="11">
        <v>131167</v>
      </c>
      <c r="E10" s="10">
        <v>450973757.27000302</v>
      </c>
      <c r="F10" s="11">
        <v>67595</v>
      </c>
      <c r="G10" s="10">
        <v>116942039.88</v>
      </c>
      <c r="H10" s="11">
        <v>24542</v>
      </c>
      <c r="I10" s="6">
        <f t="shared" si="0"/>
        <v>1497648060.660008</v>
      </c>
      <c r="J10" s="12">
        <v>223304</v>
      </c>
      <c r="K10" s="1"/>
      <c r="L10" s="8"/>
    </row>
    <row r="11" spans="2:12">
      <c r="B11" s="13" t="s">
        <v>13</v>
      </c>
      <c r="C11" s="14">
        <f>C10*13.3</f>
        <v>12365439104.683067</v>
      </c>
      <c r="D11" s="15" t="s">
        <v>14</v>
      </c>
      <c r="E11" s="14">
        <f>E10*13</f>
        <v>5862658844.5100393</v>
      </c>
      <c r="F11" s="15" t="s">
        <v>14</v>
      </c>
      <c r="G11" s="14">
        <f>G10*13</f>
        <v>1520246518.4400001</v>
      </c>
      <c r="H11" s="15" t="s">
        <v>14</v>
      </c>
      <c r="I11" s="6">
        <f t="shared" si="0"/>
        <v>19748344467.633106</v>
      </c>
      <c r="J11" s="16" t="s">
        <v>14</v>
      </c>
      <c r="K11" s="8"/>
    </row>
    <row r="12" spans="2:12">
      <c r="B12" s="17" t="s">
        <v>15</v>
      </c>
    </row>
    <row r="13" spans="2:12">
      <c r="C13" s="18"/>
    </row>
    <row r="14" spans="2:12" ht="15" customHeight="1">
      <c r="B14" s="71" t="s">
        <v>16</v>
      </c>
      <c r="C14" s="72"/>
      <c r="D14" s="72"/>
      <c r="F14" s="71" t="s">
        <v>16</v>
      </c>
      <c r="G14" s="72"/>
      <c r="H14" s="72"/>
      <c r="I14" s="71"/>
      <c r="J14" s="72"/>
    </row>
    <row r="15" spans="2:12" ht="30">
      <c r="C15" s="19" t="s">
        <v>17</v>
      </c>
      <c r="D15" s="1" t="s">
        <v>18</v>
      </c>
      <c r="G15" s="19" t="s">
        <v>17</v>
      </c>
      <c r="H15" s="1" t="s">
        <v>18</v>
      </c>
    </row>
    <row r="16" spans="2:12">
      <c r="B16" s="19" t="s">
        <v>7</v>
      </c>
      <c r="C16" s="8">
        <f>(C5*13.3+(E5+G5)*13)*'Efeito Step Sinasefe AB CD E'!L25</f>
        <v>176731864.38593811</v>
      </c>
      <c r="D16" s="8">
        <f t="shared" ref="D16:D20" si="1">(C5*13.3+(E5+G5)*13)+C16</f>
        <v>371821546.02793747</v>
      </c>
      <c r="F16" s="19" t="s">
        <v>7</v>
      </c>
      <c r="G16" s="8">
        <f>((C5-658*D5)*13.3+(E5+G5)*13)*'Efeito Step Sinasefe AB CD E'!L25</f>
        <v>163706326.78382158</v>
      </c>
      <c r="H16" s="8">
        <f t="shared" ref="H16:H20" si="2">((C5-658*D5)*13.3+(E5+G5)*13)+G16</f>
        <v>344417458.2258209</v>
      </c>
    </row>
    <row r="17" spans="2:8">
      <c r="B17" s="19" t="s">
        <v>8</v>
      </c>
      <c r="C17" s="8">
        <f>(C6*13.3+(E6+G6)*13)*'Efeito Step Sinasefe AB CD E'!M25</f>
        <v>329114298.64570278</v>
      </c>
      <c r="D17" s="8">
        <f t="shared" si="1"/>
        <v>902420627.13970542</v>
      </c>
      <c r="F17" s="19" t="s">
        <v>8</v>
      </c>
      <c r="G17" s="8">
        <f>((C6-658*D6)*13.3+(E6+G6)*13)*'Efeito Step Sinasefe AB CD E'!M25</f>
        <v>314092956.50668532</v>
      </c>
      <c r="H17" s="8">
        <f t="shared" si="2"/>
        <v>861232599.00068784</v>
      </c>
    </row>
    <row r="18" spans="2:8">
      <c r="B18" s="19" t="s">
        <v>9</v>
      </c>
      <c r="C18" s="8">
        <f>(C7*13.3+(E7+G7)*13)*'Efeito Step Sinasefe AB CD E'!N25</f>
        <v>1813780488.3721824</v>
      </c>
      <c r="D18" s="8">
        <f t="shared" si="1"/>
        <v>4183161102.5531716</v>
      </c>
      <c r="F18" s="19" t="s">
        <v>9</v>
      </c>
      <c r="G18" s="8">
        <f>((C7-658*D7)*13.3+(E7+G7)*13)*'Efeito Step Sinasefe AB CD E'!N25</f>
        <v>1694687579.8466942</v>
      </c>
      <c r="H18" s="8">
        <f t="shared" si="2"/>
        <v>3908494556.2276831</v>
      </c>
    </row>
    <row r="19" spans="2:8">
      <c r="B19" s="19" t="s">
        <v>10</v>
      </c>
      <c r="C19" s="8">
        <f>(C8*13.3+(E8+G8)*13)*'Efeito Step Sinasefe AB CD E'!O25</f>
        <v>2808248191.1379685</v>
      </c>
      <c r="D19" s="8">
        <f t="shared" si="1"/>
        <v>9769995666.7388611</v>
      </c>
      <c r="F19" s="19" t="s">
        <v>10</v>
      </c>
      <c r="G19" s="8">
        <f>((C8-658*D8)*13.3+(E8+G8)*13)*'Efeito Step Sinasefe AB CD E'!O25</f>
        <v>2586963454.8505754</v>
      </c>
      <c r="H19" s="8">
        <f t="shared" si="2"/>
        <v>9000138172.8514671</v>
      </c>
    </row>
    <row r="20" spans="2:8" ht="15.75" customHeight="1">
      <c r="B20" s="19" t="s">
        <v>11</v>
      </c>
      <c r="C20" s="8">
        <f>IF(((C9*13.3+(E9+G9)*13)*'Efeito Step Sinasefe AB CD E'!P25)&lt;0,0,(C9*13.3+(E9+G9)*13)*'Efeito Step Sinasefe AB CD E'!P25)</f>
        <v>1114763133.2572749</v>
      </c>
      <c r="D20" s="8">
        <f t="shared" si="1"/>
        <v>10763583500.972513</v>
      </c>
      <c r="F20" s="19" t="s">
        <v>11</v>
      </c>
      <c r="G20" s="8">
        <f>IF((((C9-658*D9)*13.3+(E9+G9)*13)*'Efeito Step Sinasefe AB CD E'!P25)&lt;0,0,((C9-658*D9)*13.3+(E9+G9)*13)*'Efeito Step Sinasefe AB CD E'!P25)</f>
        <v>1068179602.4594655</v>
      </c>
      <c r="H20" s="8">
        <f t="shared" si="2"/>
        <v>10313796717.974705</v>
      </c>
    </row>
    <row r="21" spans="2:8" ht="15.75" customHeight="1">
      <c r="B21" s="77" t="s">
        <v>19</v>
      </c>
      <c r="C21" s="73">
        <f t="shared" ref="C21:D21" si="3">SUM(C16:C20)</f>
        <v>6242637975.7990665</v>
      </c>
      <c r="D21" s="73">
        <f t="shared" si="3"/>
        <v>25990982443.43219</v>
      </c>
      <c r="F21" s="77" t="s">
        <v>19</v>
      </c>
      <c r="G21" s="73">
        <f t="shared" ref="G21:H21" si="4">SUM(G16:G20)</f>
        <v>5827629920.4472427</v>
      </c>
      <c r="H21" s="73">
        <f t="shared" si="4"/>
        <v>24428079504.280365</v>
      </c>
    </row>
    <row r="22" spans="2:8" ht="15.75" customHeight="1">
      <c r="B22" s="72"/>
      <c r="C22" s="74"/>
      <c r="D22" s="74"/>
      <c r="F22" s="72"/>
      <c r="G22" s="74"/>
      <c r="H22" s="74"/>
    </row>
    <row r="23" spans="2:8" ht="15.75" customHeight="1">
      <c r="B23" s="19" t="s">
        <v>20</v>
      </c>
      <c r="D23" s="8"/>
      <c r="F23" s="19" t="s">
        <v>21</v>
      </c>
      <c r="H23" s="8"/>
    </row>
    <row r="24" spans="2:8" ht="15.75" customHeight="1"/>
    <row r="25" spans="2:8" ht="15.75" customHeight="1"/>
    <row r="26" spans="2:8" ht="15.75" customHeight="1"/>
    <row r="27" spans="2:8" ht="15.75" customHeight="1"/>
    <row r="28" spans="2:8" ht="15.75" customHeight="1"/>
    <row r="29" spans="2:8" ht="15.75" customHeight="1"/>
    <row r="30" spans="2:8" ht="15.75" customHeight="1"/>
    <row r="31" spans="2:8" ht="15.75" customHeight="1"/>
    <row r="32" spans="2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3:J3"/>
    <mergeCell ref="B14:D14"/>
    <mergeCell ref="F14:H14"/>
    <mergeCell ref="I14:J14"/>
    <mergeCell ref="H21:H22"/>
    <mergeCell ref="B3:B4"/>
    <mergeCell ref="C3:D3"/>
    <mergeCell ref="E3:F3"/>
    <mergeCell ref="G3:H3"/>
    <mergeCell ref="B21:B22"/>
    <mergeCell ref="C21:C22"/>
    <mergeCell ref="D21:D22"/>
    <mergeCell ref="F21:F22"/>
    <mergeCell ref="G21:G22"/>
  </mergeCells>
  <pageMargins left="0.511811024" right="0.511811024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00"/>
  <sheetViews>
    <sheetView workbookViewId="0">
      <selection activeCell="N20" sqref="N20"/>
    </sheetView>
  </sheetViews>
  <sheetFormatPr defaultColWidth="14.42578125" defaultRowHeight="15" customHeight="1"/>
  <cols>
    <col min="1" max="6" width="9.140625" customWidth="1"/>
    <col min="7" max="7" width="12.85546875" customWidth="1"/>
    <col min="8" max="8" width="9.140625" customWidth="1"/>
    <col min="9" max="9" width="6.7109375" customWidth="1"/>
    <col min="10" max="10" width="6.140625" bestFit="1" customWidth="1"/>
    <col min="11" max="11" width="9.140625" customWidth="1"/>
    <col min="12" max="12" width="19.140625" customWidth="1"/>
    <col min="13" max="13" width="15.42578125" bestFit="1" customWidth="1"/>
    <col min="14" max="14" width="15.42578125" customWidth="1"/>
    <col min="15" max="15" width="16.42578125" bestFit="1" customWidth="1"/>
    <col min="16" max="16" width="15.42578125" customWidth="1"/>
    <col min="17" max="26" width="9.140625" customWidth="1"/>
  </cols>
  <sheetData>
    <row r="1" spans="1:22" ht="30">
      <c r="A1" s="20" t="s">
        <v>22</v>
      </c>
      <c r="B1" s="20" t="s">
        <v>23</v>
      </c>
      <c r="C1" s="20" t="s">
        <v>24</v>
      </c>
      <c r="D1" s="20" t="s">
        <v>25</v>
      </c>
      <c r="E1" s="20" t="s">
        <v>26</v>
      </c>
      <c r="F1" s="20" t="s">
        <v>27</v>
      </c>
      <c r="G1" s="20" t="s">
        <v>28</v>
      </c>
      <c r="I1" s="1" t="s">
        <v>29</v>
      </c>
      <c r="L1" s="21" t="s">
        <v>7</v>
      </c>
      <c r="M1" s="21" t="s">
        <v>8</v>
      </c>
      <c r="N1" s="21" t="s">
        <v>9</v>
      </c>
      <c r="O1" s="21" t="s">
        <v>10</v>
      </c>
      <c r="P1" s="21" t="s">
        <v>11</v>
      </c>
      <c r="R1" s="21" t="s">
        <v>7</v>
      </c>
      <c r="S1" s="21" t="s">
        <v>8</v>
      </c>
      <c r="T1" s="21" t="s">
        <v>9</v>
      </c>
      <c r="U1" s="21" t="s">
        <v>10</v>
      </c>
      <c r="V1" s="21" t="s">
        <v>11</v>
      </c>
    </row>
    <row r="2" spans="1:22">
      <c r="A2" s="22" t="s">
        <v>30</v>
      </c>
      <c r="B2" s="59">
        <v>0</v>
      </c>
      <c r="C2" s="23">
        <v>0</v>
      </c>
      <c r="D2" s="23">
        <v>0</v>
      </c>
      <c r="E2" s="23">
        <v>0</v>
      </c>
      <c r="F2" s="23">
        <v>0</v>
      </c>
      <c r="G2" s="20"/>
      <c r="I2" s="54" t="s">
        <v>87</v>
      </c>
      <c r="J2" s="24">
        <f>('Sinasefe AB CD E'!B3-'Matriz Atual'!C13)/'Matriz Atual'!C13</f>
        <v>0.29999999999999988</v>
      </c>
      <c r="K2" s="25">
        <v>1</v>
      </c>
      <c r="L2" s="55">
        <f>((('Sinasefe AB CD E'!B3-'Matriz Atual'!C3)/'Matriz Atual'!C3)*'Matriz Atual'!C3)*B2</f>
        <v>0</v>
      </c>
      <c r="M2" s="8">
        <f>((('Sinasefe AB CD E'!B3-'Matriz Atual'!C8)/'Matriz Atual'!C8)*'Matriz Atual'!C8)*(C7)</f>
        <v>0</v>
      </c>
      <c r="N2" s="8">
        <f>((('Sinasefe AB CD E'!B11-'Matriz Atual'!C13)/'Matriz Atual'!C13)*'Matriz Atual'!C13)*(D12)</f>
        <v>246689.86051393003</v>
      </c>
      <c r="O2" s="8">
        <f>((('Sinasefe AB CD E'!B11-'Matriz Atual'!C19)/'Matriz Atual'!C19)*'Matriz Atual'!C19)*(E18)</f>
        <v>3882921.6875971947</v>
      </c>
      <c r="P2" s="8">
        <f>((('Sinasefe AB CD E'!B19-'Matriz Atual'!C33)/'Matriz Atual'!C33)*'Matriz Atual'!C33)*(F32)</f>
        <v>1165635.0129464953</v>
      </c>
      <c r="R2" s="8">
        <f>B2*'Matriz Atual'!C3</f>
        <v>0</v>
      </c>
      <c r="S2" s="8">
        <f>C7*'Matriz Atual'!C8</f>
        <v>0</v>
      </c>
      <c r="T2" s="8">
        <f>D12*'Matriz Atual'!C13</f>
        <v>322259.76</v>
      </c>
      <c r="U2" s="8">
        <f>E18*'Matriz Atual'!C19</f>
        <v>9625888.7100000009</v>
      </c>
      <c r="V2" s="8">
        <f>F32*'Matriz Atual'!C33</f>
        <v>10089020.880000001</v>
      </c>
    </row>
    <row r="3" spans="1:22">
      <c r="A3" s="20" t="s">
        <v>31</v>
      </c>
      <c r="B3" s="59">
        <v>0</v>
      </c>
      <c r="C3" s="23">
        <v>0</v>
      </c>
      <c r="D3" s="23">
        <v>0</v>
      </c>
      <c r="E3" s="23">
        <v>0</v>
      </c>
      <c r="F3" s="23">
        <v>0</v>
      </c>
      <c r="G3" s="20"/>
      <c r="I3" s="54" t="s">
        <v>88</v>
      </c>
      <c r="J3" s="24">
        <f>('Sinasefe AB CD E'!B4-'Matriz Atual'!C14)/'Matriz Atual'!C14</f>
        <v>0.30000889368076966</v>
      </c>
      <c r="K3" s="25">
        <v>2</v>
      </c>
      <c r="L3" s="55">
        <f>(((Sinasefe!B4-'Matriz Atual'!C4)/'Matriz Atual'!C4)*'Matriz Atual'!C4)*B3</f>
        <v>0</v>
      </c>
      <c r="M3" s="8">
        <f>((('Sinasefe AB CD E'!B4-'Matriz Atual'!C9)/'Matriz Atual'!C9)*'Matriz Atual'!C9)*(C8)</f>
        <v>2088.7591819999993</v>
      </c>
      <c r="N3" s="8">
        <f>((('Sinasefe AB CD E'!B12-'Matriz Atual'!C14)/'Matriz Atual'!C14)*'Matriz Atual'!C14)*(D13)</f>
        <v>30352.861860865258</v>
      </c>
      <c r="O3" s="8">
        <f>((('Sinasefe AB CD E'!B12-'Matriz Atual'!C20)/'Matriz Atual'!C20)*'Matriz Atual'!C20)*(E19)</f>
        <v>323058.67987722566</v>
      </c>
      <c r="P3" s="8">
        <f>((('Sinasefe AB CD E'!B20-'Matriz Atual'!C34)/'Matriz Atual'!C34)*'Matriz Atual'!C34)*(F33)</f>
        <v>141677.27136756771</v>
      </c>
      <c r="R3" s="8">
        <f>B3*'Matriz Atual'!C4</f>
        <v>0</v>
      </c>
      <c r="S3" s="8">
        <f>C8*'Matriz Atual'!C9</f>
        <v>3638.56</v>
      </c>
      <c r="T3" s="8">
        <f>D13*'Matriz Atual'!C14</f>
        <v>39650.400000000001</v>
      </c>
      <c r="U3" s="8">
        <f>E19*'Matriz Atual'!C20</f>
        <v>800882.58</v>
      </c>
      <c r="V3" s="8">
        <f>F33*'Matriz Atual'!C34</f>
        <v>1226271.76</v>
      </c>
    </row>
    <row r="4" spans="1:22">
      <c r="A4" s="20" t="s">
        <v>32</v>
      </c>
      <c r="B4" s="59">
        <v>0</v>
      </c>
      <c r="C4" s="23">
        <v>0</v>
      </c>
      <c r="D4" s="23">
        <v>0</v>
      </c>
      <c r="E4" s="23">
        <v>0</v>
      </c>
      <c r="F4" s="23">
        <v>0</v>
      </c>
      <c r="G4" s="20"/>
      <c r="I4" s="54" t="s">
        <v>89</v>
      </c>
      <c r="J4" s="24">
        <f>('Sinasefe AB CD E'!B5-'Matriz Atual'!C15)/'Matriz Atual'!C15</f>
        <v>0.30000275920558217</v>
      </c>
      <c r="K4" s="25">
        <v>3</v>
      </c>
      <c r="L4" s="55">
        <f>(((Sinasefe!B5-'Matriz Atual'!C5)/'Matriz Atual'!C5)*'Matriz Atual'!C5)*B4</f>
        <v>0</v>
      </c>
      <c r="M4" s="8">
        <f>((('Sinasefe AB CD E'!B5-'Matriz Atual'!C10)/'Matriz Atual'!C10)*'Matriz Atual'!C10)*(C9)</f>
        <v>0</v>
      </c>
      <c r="N4" s="8">
        <f>((('Sinasefe AB CD E'!B13-'Matriz Atual'!C15)/'Matriz Atual'!C15)*'Matriz Atual'!C15)*(D14)</f>
        <v>154178.09769236849</v>
      </c>
      <c r="O4" s="8">
        <f>((('Sinasefe AB CD E'!B13-'Matriz Atual'!C21)/'Matriz Atual'!C21)*'Matriz Atual'!C21)*(E20)</f>
        <v>2023252.5847739303</v>
      </c>
      <c r="P4" s="8">
        <f>((('Sinasefe AB CD E'!B21-'Matriz Atual'!C35)/'Matriz Atual'!C35)*'Matriz Atual'!C35)*(F34)</f>
        <v>614945.06473110791</v>
      </c>
      <c r="R4" s="8">
        <f>B4*'Matriz Atual'!C5</f>
        <v>0</v>
      </c>
      <c r="S4" s="8">
        <f>C9*'Matriz Atual'!C10</f>
        <v>0</v>
      </c>
      <c r="T4" s="8">
        <f>D14*'Matriz Atual'!C15</f>
        <v>201407.35999999999</v>
      </c>
      <c r="U4" s="8">
        <f>E20*'Matriz Atual'!C21</f>
        <v>5015723.18</v>
      </c>
      <c r="V4" s="8">
        <f>F34*'Matriz Atual'!C35</f>
        <v>5322682.6000000006</v>
      </c>
    </row>
    <row r="5" spans="1:22">
      <c r="A5" s="20" t="s">
        <v>33</v>
      </c>
      <c r="B5" s="59">
        <v>0</v>
      </c>
      <c r="C5" s="23">
        <v>0</v>
      </c>
      <c r="D5" s="23">
        <v>0</v>
      </c>
      <c r="E5" s="23">
        <v>0</v>
      </c>
      <c r="F5" s="23">
        <v>0</v>
      </c>
      <c r="G5" s="20"/>
      <c r="I5" s="54" t="s">
        <v>90</v>
      </c>
      <c r="J5" s="24">
        <f>('Sinasefe AB CD E'!B6-'Matriz Atual'!C16)/'Matriz Atual'!C16</f>
        <v>0.30000280294027309</v>
      </c>
      <c r="K5" s="26">
        <v>4</v>
      </c>
      <c r="L5" s="55">
        <f>(((Sinasefe!B6-'Matriz Atual'!C6)/'Matriz Atual'!C6)*'Matriz Atual'!C6)*B5</f>
        <v>0</v>
      </c>
      <c r="M5" s="8">
        <f>((('Sinasefe AB CD E'!B6-'Matriz Atual'!C11)/'Matriz Atual'!C11)*'Matriz Atual'!C11)*(C10)</f>
        <v>1127.4306653359106</v>
      </c>
      <c r="N5" s="8">
        <f>((('Sinasefe AB CD E'!B14-'Matriz Atual'!C16)/'Matriz Atual'!C16)*'Matriz Atual'!C16)*(D15)</f>
        <v>162011.40338944321</v>
      </c>
      <c r="O5" s="8">
        <f>((('Sinasefe AB CD E'!B14-'Matriz Atual'!C22)/'Matriz Atual'!C22)*'Matriz Atual'!C22)*(E21)</f>
        <v>925579.43370452733</v>
      </c>
      <c r="P5" s="8">
        <f>((('Sinasefe AB CD E'!B22-'Matriz Atual'!C36)/'Matriz Atual'!C36)*'Matriz Atual'!C36)*(F35)</f>
        <v>373792.25881146814</v>
      </c>
      <c r="R5" s="8">
        <f>B5*'Matriz Atual'!C6</f>
        <v>0</v>
      </c>
      <c r="S5" s="8">
        <f>C10*'Matriz Atual'!C11</f>
        <v>1963.95</v>
      </c>
      <c r="T5" s="8">
        <f>D15*'Matriz Atual'!C16</f>
        <v>211640.22</v>
      </c>
      <c r="U5" s="8">
        <f>E21*'Matriz Atual'!C22</f>
        <v>2294541.86</v>
      </c>
      <c r="V5" s="8">
        <f>F35*'Matriz Atual'!C36</f>
        <v>3235357.9499999997</v>
      </c>
    </row>
    <row r="6" spans="1:22">
      <c r="A6" s="20" t="s">
        <v>34</v>
      </c>
      <c r="B6" s="59">
        <v>0</v>
      </c>
      <c r="C6" s="23">
        <v>0</v>
      </c>
      <c r="D6" s="23">
        <v>0</v>
      </c>
      <c r="E6" s="23">
        <v>0</v>
      </c>
      <c r="F6" s="23">
        <v>0</v>
      </c>
      <c r="G6" s="20"/>
      <c r="I6" s="54" t="s">
        <v>91</v>
      </c>
      <c r="J6" s="24">
        <f>('Sinasefe AB CD E'!B7-'Matriz Atual'!C17)/'Matriz Atual'!C17</f>
        <v>0.30000870651918321</v>
      </c>
      <c r="K6" s="26">
        <v>5</v>
      </c>
      <c r="L6" s="55">
        <f>(((Sinasefe!B7-'Matriz Atual'!C7)/'Matriz Atual'!C7)*'Matriz Atual'!C7)*B6</f>
        <v>0</v>
      </c>
      <c r="M6" s="8">
        <f>((('Sinasefe AB CD E'!B7-'Matriz Atual'!C12)/'Matriz Atual'!C12)*'Matriz Atual'!C12)*(C11)</f>
        <v>0</v>
      </c>
      <c r="N6" s="8">
        <f>((('Sinasefe AB CD E'!B15-'Matriz Atual'!C17)/'Matriz Atual'!C17)*'Matriz Atual'!C17)*(D16)</f>
        <v>493644.3931362452</v>
      </c>
      <c r="O6" s="8">
        <f>((('Sinasefe AB CD E'!B15-'Matriz Atual'!C23)/'Matriz Atual'!C23)*'Matriz Atual'!C23)*(E22)</f>
        <v>3761453.4843246574</v>
      </c>
      <c r="P6" s="8">
        <f>((('Sinasefe AB CD E'!B23-'Matriz Atual'!C37)/'Matriz Atual'!C37)*'Matriz Atual'!C37)*(F36)</f>
        <v>1352864.0844171082</v>
      </c>
      <c r="R6" s="8">
        <f>B6*'Matriz Atual'!C7</f>
        <v>0</v>
      </c>
      <c r="S6" s="8">
        <f>C11*'Matriz Atual'!C12</f>
        <v>0</v>
      </c>
      <c r="T6" s="8">
        <f>D16*'Matriz Atual'!C17</f>
        <v>644855.31000000006</v>
      </c>
      <c r="U6" s="8">
        <f>E22*'Matriz Atual'!C23</f>
        <v>9324750</v>
      </c>
      <c r="V6" s="8">
        <f>F36*'Matriz Atual'!C37</f>
        <v>11709608.399999999</v>
      </c>
    </row>
    <row r="7" spans="1:22">
      <c r="A7" s="22" t="s">
        <v>35</v>
      </c>
      <c r="B7" s="59">
        <v>0</v>
      </c>
      <c r="C7" s="59">
        <v>0</v>
      </c>
      <c r="D7" s="23">
        <v>0</v>
      </c>
      <c r="E7" s="23">
        <v>0</v>
      </c>
      <c r="F7" s="23">
        <v>0</v>
      </c>
      <c r="G7" s="20"/>
      <c r="I7" s="54" t="s">
        <v>92</v>
      </c>
      <c r="J7" s="24">
        <f>('Sinasefe AB CD E'!B8-'Matriz Atual'!C18)/'Matriz Atual'!C18</f>
        <v>0.30000247254627355</v>
      </c>
      <c r="K7" s="26">
        <v>6</v>
      </c>
      <c r="L7" s="55">
        <f>(((Sinasefe!B8-'Matriz Atual'!C8)/'Matriz Atual'!C8)*'Matriz Atual'!C8)*B7</f>
        <v>0</v>
      </c>
      <c r="M7" s="8">
        <f>((('Sinasefe AB CD E'!B8-'Matriz Atual'!C13)/'Matriz Atual'!C13)*'Matriz Atual'!C13)*(C12)</f>
        <v>4868.321388896351</v>
      </c>
      <c r="N7" s="8">
        <f>((('Sinasefe AB CD E'!B16-'Matriz Atual'!C18)/'Matriz Atual'!C18)*'Matriz Atual'!C18)*(D17)</f>
        <v>705473.94195219385</v>
      </c>
      <c r="O7" s="8">
        <f>((('Sinasefe AB CD E'!B16-'Matriz Atual'!C24)/'Matriz Atual'!C24)*'Matriz Atual'!C24)*(E23)</f>
        <v>1899363.5342236734</v>
      </c>
      <c r="P7" s="8">
        <f>((('Sinasefe AB CD E'!B24-'Matriz Atual'!C38)/'Matriz Atual'!C38)*'Matriz Atual'!C38)*(F37)</f>
        <v>695480.56725103257</v>
      </c>
      <c r="R7" s="8">
        <f>B7*'Matriz Atual'!C8</f>
        <v>0</v>
      </c>
      <c r="S7" s="8">
        <f>C12*'Matriz Atual'!C13</f>
        <v>8480.52</v>
      </c>
      <c r="T7" s="8">
        <f>D17*'Matriz Atual'!C18</f>
        <v>921581.72</v>
      </c>
      <c r="U7" s="8">
        <f>E23*'Matriz Atual'!C24</f>
        <v>4708567.26</v>
      </c>
      <c r="V7" s="8">
        <f>F37*'Matriz Atual'!C38</f>
        <v>6019690.6900000004</v>
      </c>
    </row>
    <row r="8" spans="1:22">
      <c r="A8" s="20" t="s">
        <v>36</v>
      </c>
      <c r="B8" s="59">
        <v>0</v>
      </c>
      <c r="C8" s="59">
        <v>2</v>
      </c>
      <c r="D8" s="23">
        <v>0</v>
      </c>
      <c r="E8" s="23">
        <v>0</v>
      </c>
      <c r="F8" s="23">
        <v>0</v>
      </c>
      <c r="G8" s="20"/>
      <c r="I8" s="54" t="s">
        <v>93</v>
      </c>
      <c r="J8" s="24">
        <f>('Sinasefe AB CD E'!B9-'Matriz Atual'!C19)/'Matriz Atual'!C19</f>
        <v>0.30000545546654994</v>
      </c>
      <c r="K8" s="26">
        <v>7</v>
      </c>
      <c r="L8" s="55">
        <f>(((Sinasefe!B9-'Matriz Atual'!C9)/'Matriz Atual'!C9)*'Matriz Atual'!C9)*B8</f>
        <v>0</v>
      </c>
      <c r="M8" s="8">
        <f>((('Sinasefe AB CD E'!B9-'Matriz Atual'!C14)/'Matriz Atual'!C14)*'Matriz Atual'!C14)*(C13)</f>
        <v>2529.1231015316544</v>
      </c>
      <c r="N8" s="8">
        <f>((('Sinasefe AB CD E'!B17-'Matriz Atual'!C19)/'Matriz Atual'!C19)*'Matriz Atual'!C19)*(D18)</f>
        <v>2094839.4232877602</v>
      </c>
      <c r="O8" s="8">
        <f>((('Sinasefe AB CD E'!B17-'Matriz Atual'!C25)/'Matriz Atual'!C25)*'Matriz Atual'!C25)*(E24)</f>
        <v>5611709.7737534642</v>
      </c>
      <c r="P8" s="8">
        <f>((('Sinasefe AB CD E'!B25-'Matriz Atual'!C39)/'Matriz Atual'!C39)*'Matriz Atual'!C39)*(F38)</f>
        <v>1981023.3448624338</v>
      </c>
      <c r="R8" s="8">
        <f>B8*'Matriz Atual'!C9</f>
        <v>0</v>
      </c>
      <c r="S8" s="8">
        <f>C13*'Matriz Atual'!C14</f>
        <v>4405.6000000000004</v>
      </c>
      <c r="T8" s="8">
        <f>D18*'Matriz Atual'!C19</f>
        <v>2736536.94</v>
      </c>
      <c r="U8" s="8">
        <f>E24*'Matriz Atual'!C25</f>
        <v>13911571.32</v>
      </c>
      <c r="V8" s="8">
        <f>F38*'Matriz Atual'!C39</f>
        <v>17146744.98</v>
      </c>
    </row>
    <row r="9" spans="1:22">
      <c r="A9" s="20" t="s">
        <v>37</v>
      </c>
      <c r="B9" s="59">
        <v>0</v>
      </c>
      <c r="C9" s="59">
        <v>0</v>
      </c>
      <c r="D9" s="23">
        <v>0</v>
      </c>
      <c r="E9" s="23">
        <v>0</v>
      </c>
      <c r="F9" s="23">
        <v>0</v>
      </c>
      <c r="G9" s="20"/>
      <c r="I9" s="54" t="s">
        <v>94</v>
      </c>
      <c r="J9" s="24">
        <f>('Sinasefe AB CD E'!B10-'Matriz Atual'!C20)/'Matriz Atual'!C20</f>
        <v>0.30000095670704413</v>
      </c>
      <c r="K9" s="26">
        <v>8</v>
      </c>
      <c r="L9" s="55">
        <f>(((Sinasefe!B10-'Matriz Atual'!C10)/'Matriz Atual'!C10)*'Matriz Atual'!C10)*B9</f>
        <v>0</v>
      </c>
      <c r="M9" s="8">
        <f>((('Sinasefe AB CD E'!B10-'Matriz Atual'!C15)/'Matriz Atual'!C15)*'Matriz Atual'!C15)*(C14)</f>
        <v>7883.2119074741686</v>
      </c>
      <c r="N9" s="8">
        <f>((('Sinasefe AB CD E'!B18-'Matriz Atual'!C20)/'Matriz Atual'!C20)*'Matriz Atual'!C20)*(D19)</f>
        <v>3209636.7937260256</v>
      </c>
      <c r="O9" s="8">
        <f>((('Sinasefe AB CD E'!B18-'Matriz Atual'!C26)/'Matriz Atual'!C26)*'Matriz Atual'!C26)*(E25)</f>
        <v>7543407.3234014539</v>
      </c>
      <c r="P9" s="8">
        <f>((('Sinasefe AB CD E'!B26-'Matriz Atual'!C40)/'Matriz Atual'!C40)*'Matriz Atual'!C40)*(F39)</f>
        <v>2501451.8404711047</v>
      </c>
      <c r="R9" s="8">
        <f>B9*'Matriz Atual'!C10</f>
        <v>0</v>
      </c>
      <c r="S9" s="8">
        <f>C14*'Matriz Atual'!C15</f>
        <v>13732.32</v>
      </c>
      <c r="T9" s="8">
        <f>D19*'Matriz Atual'!C20</f>
        <v>4192855.86</v>
      </c>
      <c r="U9" s="8">
        <f>E25*'Matriz Atual'!C26</f>
        <v>18700459.559999999</v>
      </c>
      <c r="V9" s="8">
        <f>F39*'Matriz Atual'!C40</f>
        <v>21651368.599999998</v>
      </c>
    </row>
    <row r="10" spans="1:22">
      <c r="A10" s="20" t="s">
        <v>38</v>
      </c>
      <c r="B10" s="59">
        <v>1</v>
      </c>
      <c r="C10" s="59">
        <v>1</v>
      </c>
      <c r="D10" s="23">
        <v>0</v>
      </c>
      <c r="E10" s="23">
        <v>0</v>
      </c>
      <c r="F10" s="23">
        <v>0</v>
      </c>
      <c r="G10" s="20"/>
      <c r="I10" s="54" t="s">
        <v>95</v>
      </c>
      <c r="J10" s="24">
        <f>('Sinasefe AB CD E'!B11-'Matriz Atual'!C21)/'Matriz Atual'!C21</f>
        <v>0.3000043790810501</v>
      </c>
      <c r="K10" s="26">
        <v>9</v>
      </c>
      <c r="L10" s="55">
        <f>((('Sinasefe AB CD E'!B11-'Matriz Atual'!C11)/'Matriz Atual'!C11)*'Matriz Atual'!C11)*B10</f>
        <v>1779.1396086442767</v>
      </c>
      <c r="M10" s="8">
        <f>((('Sinasefe AB CD E'!B11-'Matriz Atual'!C16)/'Matriz Atual'!C16)*'Matriz Atual'!C16)*(C15)</f>
        <v>6825.5480432213835</v>
      </c>
      <c r="N10" s="8">
        <f>((('Sinasefe AB CD E'!B19-'Matriz Atual'!C21)/'Matriz Atual'!C21)*'Matriz Atual'!C21)*(D20)</f>
        <v>3938751.263539019</v>
      </c>
      <c r="O10" s="8">
        <f>((('Sinasefe AB CD E'!B19-'Matriz Atual'!C27)/'Matriz Atual'!C27)*'Matriz Atual'!C27)*(E26)</f>
        <v>10882598.617861561</v>
      </c>
      <c r="P10" s="8">
        <f>((('Sinasefe AB CD E'!B27-'Matriz Atual'!C41)/'Matriz Atual'!C41)*'Matriz Atual'!C41)*(F40)</f>
        <v>3660817.8709120583</v>
      </c>
      <c r="R10" s="8">
        <f>B10*'Matriz Atual'!C11</f>
        <v>1963.95</v>
      </c>
      <c r="S10" s="8">
        <f>C15*'Matriz Atual'!C16</f>
        <v>11889.9</v>
      </c>
      <c r="T10" s="8">
        <f>D20*'Matriz Atual'!C21</f>
        <v>5145291.2299999995</v>
      </c>
      <c r="U10" s="8">
        <f>E26*'Matriz Atual'!C27</f>
        <v>26978592.48</v>
      </c>
      <c r="V10" s="8">
        <f>F40*'Matriz Atual'!C41</f>
        <v>31685888</v>
      </c>
    </row>
    <row r="11" spans="1:22">
      <c r="A11" s="20" t="s">
        <v>39</v>
      </c>
      <c r="B11" s="59">
        <v>4</v>
      </c>
      <c r="C11" s="59">
        <v>0</v>
      </c>
      <c r="D11" s="23">
        <v>0</v>
      </c>
      <c r="E11" s="23">
        <v>0</v>
      </c>
      <c r="F11" s="23">
        <v>0</v>
      </c>
      <c r="G11" s="20"/>
      <c r="I11" s="54" t="s">
        <v>96</v>
      </c>
      <c r="J11" s="24">
        <f>('Sinasefe AB CD E'!B12-'Matriz Atual'!C22)/'Matriz Atual'!C22</f>
        <v>0.30000538290181228</v>
      </c>
      <c r="K11" s="25">
        <v>10</v>
      </c>
      <c r="L11" s="55">
        <f>((('Sinasefe AB CD E'!B12-'Matriz Atual'!C12)/'Matriz Atual'!C12)*'Matriz Atual'!C12)*B11</f>
        <v>7394.0804135256139</v>
      </c>
      <c r="M11" s="8">
        <f>((('Sinasefe AB CD E'!B12-'Matriz Atual'!C17)/'Matriz Atual'!C17)*'Matriz Atual'!C17)*(C16)</f>
        <v>36877.362687916488</v>
      </c>
      <c r="N11" s="8">
        <f>((('Sinasefe AB CD E'!B20-'Matriz Atual'!C22)/'Matriz Atual'!C22)*'Matriz Atual'!C22)*(D21)</f>
        <v>3196946.7825062727</v>
      </c>
      <c r="O11" s="8">
        <f>((('Sinasefe AB CD E'!B20-'Matriz Atual'!C28)/'Matriz Atual'!C28)*'Matriz Atual'!C28)*(E27)</f>
        <v>8387704.1170108579</v>
      </c>
      <c r="P11" s="8">
        <f>((('Sinasefe AB CD E'!B28-'Matriz Atual'!C42)/'Matriz Atual'!C42)*'Matriz Atual'!C42)*(F41)</f>
        <v>3321443.2011040747</v>
      </c>
      <c r="R11" s="8">
        <f>B11*'Matriz Atual'!C12</f>
        <v>8162.2</v>
      </c>
      <c r="S11" s="8">
        <f>C16*'Matriz Atual'!C17</f>
        <v>64238.46</v>
      </c>
      <c r="T11" s="8">
        <f>D21*'Matriz Atual'!C22</f>
        <v>4176245.6799999997</v>
      </c>
      <c r="U11" s="8">
        <f>E27*'Matriz Atual'!C28</f>
        <v>20793448</v>
      </c>
      <c r="V11" s="8">
        <f>F41*'Matriz Atual'!C42</f>
        <v>28748574.710000001</v>
      </c>
    </row>
    <row r="12" spans="1:22">
      <c r="A12" s="22" t="s">
        <v>40</v>
      </c>
      <c r="B12" s="59">
        <v>2</v>
      </c>
      <c r="C12" s="59">
        <v>4</v>
      </c>
      <c r="D12" s="59">
        <v>152</v>
      </c>
      <c r="E12" s="23">
        <v>0</v>
      </c>
      <c r="F12" s="23">
        <v>0</v>
      </c>
      <c r="G12" s="20"/>
      <c r="I12" s="54" t="s">
        <v>97</v>
      </c>
      <c r="J12" s="24">
        <f>('Sinasefe AB CD E'!B13-'Matriz Atual'!C23)/'Matriz Atual'!C23</f>
        <v>0.30000606045629469</v>
      </c>
      <c r="K12" s="25">
        <v>11</v>
      </c>
      <c r="L12" s="55">
        <f>((('Sinasefe AB CD E'!B13-'Matriz Atual'!C13)/'Matriz Atual'!C13)*'Matriz Atual'!C13)*B12</f>
        <v>3841.2276748265558</v>
      </c>
      <c r="M12" s="8">
        <f>((('Sinasefe AB CD E'!B13-'Matriz Atual'!C18)/'Matriz Atual'!C18)*'Matriz Atual'!C18)*(C17)</f>
        <v>36841.595935331956</v>
      </c>
      <c r="N12" s="8">
        <f>((('Sinasefe AB CD E'!B21-'Matriz Atual'!C23)/'Matriz Atual'!C23)*'Matriz Atual'!C23)*(D22)</f>
        <v>2372252.9216607343</v>
      </c>
      <c r="O12" s="8">
        <f>((('Sinasefe AB CD E'!B21-'Matriz Atual'!C29)/'Matriz Atual'!C29)*'Matriz Atual'!C29)*(E28)</f>
        <v>7733703.3885181351</v>
      </c>
      <c r="P12" s="8">
        <f>((('Sinasefe AB CD E'!B29-'Matriz Atual'!C43)/'Matriz Atual'!C43)*'Matriz Atual'!C43)*(F42)</f>
        <v>2671403.7208172949</v>
      </c>
      <c r="R12" s="8">
        <f>B12*'Matriz Atual'!C13</f>
        <v>4240.26</v>
      </c>
      <c r="S12" s="8">
        <f>C17*'Matriz Atual'!C18</f>
        <v>64177</v>
      </c>
      <c r="T12" s="8">
        <f>D22*'Matriz Atual'!C23</f>
        <v>3098925.25</v>
      </c>
      <c r="U12" s="8">
        <f>E28*'Matriz Atual'!C29</f>
        <v>19172200.900000002</v>
      </c>
      <c r="V12" s="8">
        <f>F42*'Matriz Atual'!C43</f>
        <v>23122179.579999998</v>
      </c>
    </row>
    <row r="13" spans="1:22">
      <c r="A13" s="20" t="s">
        <v>41</v>
      </c>
      <c r="B13" s="59">
        <v>6</v>
      </c>
      <c r="C13" s="59">
        <v>2</v>
      </c>
      <c r="D13" s="59">
        <v>18</v>
      </c>
      <c r="E13" s="23">
        <v>0</v>
      </c>
      <c r="F13" s="23">
        <v>0</v>
      </c>
      <c r="G13" s="20"/>
      <c r="I13" s="54" t="s">
        <v>98</v>
      </c>
      <c r="J13" s="24">
        <f>('Sinasefe AB CD E'!B14-'Matriz Atual'!C24)/'Matriz Atual'!C24</f>
        <v>0.30000676490953493</v>
      </c>
      <c r="K13" s="25">
        <v>12</v>
      </c>
      <c r="L13" s="55">
        <f>((('Sinasefe AB CD E'!B14-'Matriz Atual'!C14)/'Matriz Atual'!C14)*'Matriz Atual'!C14)*B13</f>
        <v>11973.197082434372</v>
      </c>
      <c r="M13" s="8">
        <f>((('Sinasefe AB CD E'!B14-'Matriz Atual'!C19)/'Matriz Atual'!C19)*'Matriz Atual'!C19)*(C18)</f>
        <v>68901.428118257798</v>
      </c>
      <c r="N13" s="8">
        <f>((('Sinasefe AB CD E'!B22-'Matriz Atual'!C24)/'Matriz Atual'!C24)*'Matriz Atual'!C24)*(D23)</f>
        <v>1728060.1792562658</v>
      </c>
      <c r="O13" s="8">
        <f>((('Sinasefe AB CD E'!B22-'Matriz Atual'!C30)/'Matriz Atual'!C30)*'Matriz Atual'!C30)*(E29)</f>
        <v>8653176.0355838072</v>
      </c>
      <c r="P13" s="8">
        <f>((('Sinasefe AB CD E'!B30-'Matriz Atual'!C44)/'Matriz Atual'!C44)*'Matriz Atual'!C44)*(F43)</f>
        <v>4106795.3597807842</v>
      </c>
      <c r="R13" s="8">
        <f>B13*'Matriz Atual'!C14</f>
        <v>13216.800000000001</v>
      </c>
      <c r="S13" s="8">
        <f>C18*'Matriz Atual'!C19</f>
        <v>120023.55</v>
      </c>
      <c r="T13" s="8">
        <f>D23*'Matriz Atual'!C24</f>
        <v>2257399.5299999998</v>
      </c>
      <c r="U13" s="8">
        <f>E29*'Matriz Atual'!C30</f>
        <v>21451584</v>
      </c>
      <c r="V13" s="8">
        <f>F43*'Matriz Atual'!C44</f>
        <v>35546602.140000001</v>
      </c>
    </row>
    <row r="14" spans="1:22">
      <c r="A14" s="20" t="s">
        <v>42</v>
      </c>
      <c r="B14" s="59">
        <v>2</v>
      </c>
      <c r="C14" s="59">
        <v>6</v>
      </c>
      <c r="D14" s="59">
        <v>88</v>
      </c>
      <c r="E14" s="23">
        <v>0</v>
      </c>
      <c r="F14" s="23">
        <v>0</v>
      </c>
      <c r="G14" s="20"/>
      <c r="I14" s="54" t="s">
        <v>99</v>
      </c>
      <c r="J14" s="24">
        <f>('Sinasefe AB CD E'!B15-'Matriz Atual'!C25)/'Matriz Atual'!C25</f>
        <v>0.30000650532816131</v>
      </c>
      <c r="K14" s="26">
        <v>13</v>
      </c>
      <c r="L14" s="55">
        <f>((('Sinasefe AB CD E'!B15-'Matriz Atual'!C15)/'Matriz Atual'!C15)*'Matriz Atual'!C15)*B14</f>
        <v>4146.6956562164387</v>
      </c>
      <c r="M14" s="8">
        <f>((('Sinasefe AB CD E'!B15-'Matriz Atual'!C20)/'Matriz Atual'!C20)*'Matriz Atual'!C20)*(C19)</f>
        <v>15908.478281082193</v>
      </c>
      <c r="N14" s="8">
        <f>((('Sinasefe AB CD E'!B23-'Matriz Atual'!C25)/'Matriz Atual'!C25)*'Matriz Atual'!C25)*(D24)</f>
        <v>724346.27229280013</v>
      </c>
      <c r="O14" s="8">
        <f>((('Sinasefe AB CD E'!B23-'Matriz Atual'!C31)/'Matriz Atual'!C31)*'Matriz Atual'!C31)*(E30)</f>
        <v>6336058.5289415224</v>
      </c>
      <c r="P14" s="8">
        <f>((('Sinasefe AB CD E'!B31-'Matriz Atual'!C45)/'Matriz Atual'!C45)*'Matriz Atual'!C45)*(F44)</f>
        <v>3102116.1058991454</v>
      </c>
      <c r="R14" s="8">
        <f>B14*'Matriz Atual'!C15</f>
        <v>4577.4399999999996</v>
      </c>
      <c r="S14" s="8">
        <f>C19*'Matriz Atual'!C20</f>
        <v>27712.199999999997</v>
      </c>
      <c r="T14" s="8">
        <f>D24*'Matriz Atual'!C25</f>
        <v>946228.44000000006</v>
      </c>
      <c r="U14" s="8">
        <f>E30*'Matriz Atual'!C31</f>
        <v>15707234.039999999</v>
      </c>
      <c r="V14" s="8">
        <f>F44*'Matriz Atual'!C45</f>
        <v>26850462.150000002</v>
      </c>
    </row>
    <row r="15" spans="1:22">
      <c r="A15" s="20" t="s">
        <v>43</v>
      </c>
      <c r="B15" s="59">
        <v>6</v>
      </c>
      <c r="C15" s="59">
        <v>5</v>
      </c>
      <c r="D15" s="59">
        <v>89</v>
      </c>
      <c r="E15" s="23">
        <v>0</v>
      </c>
      <c r="F15" s="23">
        <v>0</v>
      </c>
      <c r="G15" s="20"/>
      <c r="I15" s="54" t="s">
        <v>100</v>
      </c>
      <c r="J15" s="24">
        <f>('Sinasefe AB CD E'!B16-'Matriz Atual'!C26)/'Matriz Atual'!C26</f>
        <v>0.30000329100689838</v>
      </c>
      <c r="K15" s="26">
        <v>14</v>
      </c>
      <c r="L15" s="55">
        <f>((('Sinasefe AB CD E'!B16-'Matriz Atual'!C16)/'Matriz Atual'!C16)*'Matriz Atual'!C16)*B15</f>
        <v>12925.250840426637</v>
      </c>
      <c r="M15" s="8">
        <f>((('Sinasefe AB CD E'!B16-'Matriz Atual'!C21)/'Matriz Atual'!C21)*'Matriz Atual'!C21)*(C20)</f>
        <v>14876.086260639957</v>
      </c>
      <c r="N15" s="8">
        <f>((('Sinasefe AB CD E'!B24-'Matriz Atual'!C26)/'Matriz Atual'!C26)*'Matriz Atual'!C26)*(D25)</f>
        <v>846000.3216485586</v>
      </c>
      <c r="O15" s="8">
        <f>((('Sinasefe AB CD E'!B24-'Matriz Atual'!C32)/'Matriz Atual'!C32)*'Matriz Atual'!C32)*(E31)</f>
        <v>2950993.4588952544</v>
      </c>
      <c r="P15" s="8">
        <f>((('Sinasefe AB CD E'!B32-'Matriz Atual'!C46)/'Matriz Atual'!C46)*'Matriz Atual'!C46)*(F45)</f>
        <v>1537547.3983114371</v>
      </c>
      <c r="R15" s="8">
        <f>B15*'Matriz Atual'!C16</f>
        <v>14267.880000000001</v>
      </c>
      <c r="S15" s="8">
        <f>C20*'Matriz Atual'!C21</f>
        <v>25913.61</v>
      </c>
      <c r="T15" s="8">
        <f>D25*'Matriz Atual'!C26</f>
        <v>1105153.93</v>
      </c>
      <c r="U15" s="8">
        <f>E31*'Matriz Atual'!C32</f>
        <v>7315647.8399999999</v>
      </c>
      <c r="V15" s="8">
        <f>F45*'Matriz Atual'!C46</f>
        <v>13308118.560000001</v>
      </c>
    </row>
    <row r="16" spans="1:22">
      <c r="A16" s="20" t="s">
        <v>44</v>
      </c>
      <c r="B16" s="59">
        <v>13</v>
      </c>
      <c r="C16" s="59">
        <v>26</v>
      </c>
      <c r="D16" s="59">
        <v>261</v>
      </c>
      <c r="E16" s="23">
        <v>0</v>
      </c>
      <c r="F16" s="23">
        <v>0</v>
      </c>
      <c r="G16" s="20"/>
      <c r="I16" s="54" t="s">
        <v>101</v>
      </c>
      <c r="J16" s="24">
        <f>('Sinasefe AB CD E'!B17-'Matriz Atual'!C27)/'Matriz Atual'!C27</f>
        <v>0.30000160779933316</v>
      </c>
      <c r="K16" s="26">
        <v>15</v>
      </c>
      <c r="L16" s="55">
        <f>((('Sinasefe AB CD E'!B17-'Matriz Atual'!C17)/'Matriz Atual'!C17)*'Matriz Atual'!C17)*B16</f>
        <v>29097.039710273766</v>
      </c>
      <c r="M16" s="8">
        <f>((('Sinasefe AB CD E'!B17-'Matriz Atual'!C22)/'Matriz Atual'!C22)*'Matriz Atual'!C22)*(C21)</f>
        <v>12021.546767070489</v>
      </c>
      <c r="N16" s="8">
        <f>((('Sinasefe AB CD E'!B25-'Matriz Atual'!C27)/'Matriz Atual'!C27)*'Matriz Atual'!C27)*(D26)</f>
        <v>1380878.3534274462</v>
      </c>
      <c r="O16" s="8">
        <f>((('Sinasefe AB CD E'!B25-'Matriz Atual'!C33)/'Matriz Atual'!C33)*'Matriz Atual'!C33)*(E32)</f>
        <v>3042201.3042618944</v>
      </c>
      <c r="P16" s="8">
        <f>((('Sinasefe AB CD E'!B33-'Matriz Atual'!C47)/'Matriz Atual'!C47)*'Matriz Atual'!C47)*(F46)</f>
        <v>1467982.2822516174</v>
      </c>
      <c r="R16" s="8">
        <f>B16*'Matriz Atual'!C17</f>
        <v>32119.23</v>
      </c>
      <c r="S16" s="8">
        <f>C21*'Matriz Atual'!C22</f>
        <v>20941.059999999998</v>
      </c>
      <c r="T16" s="8">
        <f>D26*'Matriz Atual'!C27</f>
        <v>1803885.4800000002</v>
      </c>
      <c r="U16" s="8">
        <f>E32*'Matriz Atual'!C33</f>
        <v>7541702.6000000006</v>
      </c>
      <c r="V16" s="8">
        <f>F46*'Matriz Atual'!C47</f>
        <v>12706017.6</v>
      </c>
    </row>
    <row r="17" spans="1:22">
      <c r="A17" s="20" t="s">
        <v>45</v>
      </c>
      <c r="B17" s="59">
        <v>113</v>
      </c>
      <c r="C17" s="59">
        <v>25</v>
      </c>
      <c r="D17" s="59">
        <v>359</v>
      </c>
      <c r="E17" s="23">
        <v>0</v>
      </c>
      <c r="F17" s="23">
        <v>0</v>
      </c>
      <c r="G17" s="20"/>
      <c r="I17" s="54" t="s">
        <v>102</v>
      </c>
      <c r="J17" s="24">
        <f>('Sinasefe AB CD E'!B18-'Matriz Atual'!C28)/'Matriz Atual'!C28</f>
        <v>0.30000441953225543</v>
      </c>
      <c r="K17" s="26">
        <v>16</v>
      </c>
      <c r="L17" s="55">
        <f>((('Sinasefe AB CD E'!B18-'Matriz Atual'!C18)/'Matriz Atual'!C18)*'Matriz Atual'!C18)*B17</f>
        <v>262782.92752877786</v>
      </c>
      <c r="M17" s="8">
        <f>((('Sinasefe AB CD E'!B18-'Matriz Atual'!C23)/'Matriz Atual'!C23)*'Matriz Atual'!C23)*(C22)</f>
        <v>435379.60245152033</v>
      </c>
      <c r="N17" s="8">
        <f>((('Sinasefe AB CD E'!B26-'Matriz Atual'!C28)/'Matriz Atual'!C28)*'Matriz Atual'!C28)*(D27)</f>
        <v>4906338.427654</v>
      </c>
      <c r="O17" s="8">
        <f>((('Sinasefe AB CD E'!B26-'Matriz Atual'!C34)/'Matriz Atual'!C34)*'Matriz Atual'!C34)*(E33)</f>
        <v>5273171.2670538416</v>
      </c>
      <c r="P17" s="8">
        <f>((('Sinasefe AB CD E'!B34-'Matriz Atual'!C48)/'Matriz Atual'!C48)*'Matriz Atual'!C48)*(F47)</f>
        <v>2064455.9768074045</v>
      </c>
      <c r="R17" s="8">
        <f>B17*'Matriz Atual'!C18</f>
        <v>290080.03999999998</v>
      </c>
      <c r="S17" s="8">
        <f>C22*'Matriz Atual'!C23</f>
        <v>758413</v>
      </c>
      <c r="T17" s="8">
        <f>D27*'Matriz Atual'!C28</f>
        <v>6409274.5599999996</v>
      </c>
      <c r="U17" s="8">
        <f>E33*'Matriz Atual'!C34</f>
        <v>13072341.040000001</v>
      </c>
      <c r="V17" s="8">
        <f>F47*'Matriz Atual'!C48</f>
        <v>17869042.800000001</v>
      </c>
    </row>
    <row r="18" spans="1:22">
      <c r="A18" s="22" t="s">
        <v>46</v>
      </c>
      <c r="B18" s="59">
        <v>99</v>
      </c>
      <c r="C18" s="59">
        <v>45</v>
      </c>
      <c r="D18" s="59">
        <v>1026</v>
      </c>
      <c r="E18" s="59">
        <v>3609</v>
      </c>
      <c r="F18" s="23">
        <v>0</v>
      </c>
      <c r="G18" s="20"/>
      <c r="I18" s="54" t="s">
        <v>103</v>
      </c>
      <c r="J18" s="24">
        <f>('Sinasefe AB CD E'!B19-'Matriz Atual'!C29)/'Matriz Atual'!C29</f>
        <v>0.30000351525073704</v>
      </c>
      <c r="K18" s="26">
        <v>17</v>
      </c>
      <c r="L18" s="55">
        <f>((('Sinasefe AB CD E'!B19-'Matriz Atual'!C19)/'Matriz Atual'!C19)*'Matriz Atual'!C19)*B18</f>
        <v>239205.16082281078</v>
      </c>
      <c r="M18" s="8">
        <f>((('Sinasefe AB CD E'!B19-'Matriz Atual'!C24)/'Matriz Atual'!C24)*'Matriz Atual'!C24)*(C23)</f>
        <v>372640.68288267642</v>
      </c>
      <c r="N18" s="8">
        <f>((('Sinasefe AB CD E'!B27-'Matriz Atual'!C29)/'Matriz Atual'!C29)*'Matriz Atual'!C29)*(D28)</f>
        <v>2295902.1271463959</v>
      </c>
      <c r="O18" s="8">
        <f>((('Sinasefe AB CD E'!B27-'Matriz Atual'!C35)/'Matriz Atual'!C35)*'Matriz Atual'!C35)*(E34)</f>
        <v>2097461.6393660242</v>
      </c>
      <c r="P18" s="8">
        <f>((('Sinasefe AB CD E'!B35-'Matriz Atual'!C49)/'Matriz Atual'!C49)*'Matriz Atual'!C49)*(F48)</f>
        <v>800122.72524254513</v>
      </c>
      <c r="R18" s="8">
        <f>B18*'Matriz Atual'!C19</f>
        <v>264051.81</v>
      </c>
      <c r="S18" s="8">
        <f>C23*'Matriz Atual'!C24</f>
        <v>649123.47</v>
      </c>
      <c r="T18" s="8">
        <f>D28*'Matriz Atual'!C29</f>
        <v>2999200.1</v>
      </c>
      <c r="U18" s="8">
        <f>E34*'Matriz Atual'!C35</f>
        <v>5199700.1000000006</v>
      </c>
      <c r="V18" s="8">
        <f>F48*'Matriz Atual'!C49</f>
        <v>6925448.0800000001</v>
      </c>
    </row>
    <row r="19" spans="1:22">
      <c r="A19" s="20" t="s">
        <v>47</v>
      </c>
      <c r="B19" s="59">
        <v>115</v>
      </c>
      <c r="C19" s="59">
        <v>10</v>
      </c>
      <c r="D19" s="59">
        <v>1513</v>
      </c>
      <c r="E19" s="59">
        <v>289</v>
      </c>
      <c r="F19" s="23">
        <v>0</v>
      </c>
      <c r="G19" s="20"/>
      <c r="I19" s="54" t="s">
        <v>104</v>
      </c>
      <c r="J19" s="24">
        <f>('Sinasefe AB CD E'!B20-'Matriz Atual'!C30)/'Matriz Atual'!C30</f>
        <v>0.30000405921203871</v>
      </c>
      <c r="K19" s="26">
        <v>18</v>
      </c>
      <c r="L19" s="55">
        <f>((('Sinasefe AB CD E'!B20-'Matriz Atual'!C20)/'Matriz Atual'!C20)*'Matriz Atual'!C20)*B19</f>
        <v>288700.19655316719</v>
      </c>
      <c r="M19" s="8">
        <f>((('Sinasefe AB CD E'!B20-'Matriz Atual'!C25)/'Matriz Atual'!C25)*'Matriz Atual'!C25)*(C24)</f>
        <v>547051.16366173443</v>
      </c>
      <c r="N19" s="8">
        <f>((('Sinasefe AB CD E'!B28-'Matriz Atual'!C30)/'Matriz Atual'!C30)*'Matriz Atual'!C30)*(D29)</f>
        <v>2145966.223811633</v>
      </c>
      <c r="O19" s="8">
        <f>((('Sinasefe AB CD E'!B28-'Matriz Atual'!C36)/'Matriz Atual'!C36)*'Matriz Atual'!C36)*(E35)</f>
        <v>1886497.5685328182</v>
      </c>
      <c r="P19" s="8">
        <f>((('Sinasefe AB CD E'!B36-'Matriz Atual'!C50)/'Matriz Atual'!C50)*'Matriz Atual'!C50)*(F49)</f>
        <v>509491.8442436129</v>
      </c>
      <c r="R19" s="8">
        <f>B19*'Matriz Atual'!C20</f>
        <v>318690.3</v>
      </c>
      <c r="S19" s="8">
        <f>C24*'Matriz Atual'!C25</f>
        <v>952939.28</v>
      </c>
      <c r="T19" s="8">
        <f>D29*'Matriz Atual'!C30</f>
        <v>2803332</v>
      </c>
      <c r="U19" s="8">
        <f>E35*'Matriz Atual'!C36</f>
        <v>4676702.25</v>
      </c>
      <c r="V19" s="8">
        <f>F49*'Matriz Atual'!C50</f>
        <v>4409887.25</v>
      </c>
    </row>
    <row r="20" spans="1:22">
      <c r="A20" s="20" t="s">
        <v>48</v>
      </c>
      <c r="B20" s="59">
        <v>1173</v>
      </c>
      <c r="C20" s="59">
        <v>9</v>
      </c>
      <c r="D20" s="59">
        <v>1787</v>
      </c>
      <c r="E20" s="59">
        <v>1742</v>
      </c>
      <c r="F20" s="23">
        <v>0</v>
      </c>
      <c r="G20" s="23">
        <v>2279</v>
      </c>
      <c r="I20" s="54" t="s">
        <v>105</v>
      </c>
      <c r="J20" s="24">
        <f>('Sinasefe AB CD E'!B21-'Matriz Atual'!C31)/'Matriz Atual'!C31</f>
        <v>0.30000689251157753</v>
      </c>
      <c r="K20" s="25">
        <v>19</v>
      </c>
      <c r="L20" s="55">
        <f>((('Sinasefe AB CD E'!B21-'Matriz Atual'!C21)/'Matriz Atual'!C21)*'Matriz Atual'!C21)*(B20+G20)</f>
        <v>9004027.9797521122</v>
      </c>
      <c r="M20" s="8">
        <f>((('Sinasefe AB CD E'!B21-'Matriz Atual'!C26)/'Matriz Atual'!C26)*'Matriz Atual'!C26)*(C25+G25)</f>
        <v>15714608.797512626</v>
      </c>
      <c r="N20" s="8">
        <f>((('Sinasefe AB CD E'!B29-'Matriz Atual'!C31)/'Matriz Atual'!C31)*'Matriz Atual'!C31)*(D30+G30)</f>
        <v>67213097.528170973</v>
      </c>
      <c r="O20" s="8">
        <f>((('Sinasefe AB CD E'!B29-'Matriz Atual'!C37)/'Matriz Atual'!C37)*'Matriz Atual'!C37)*(E36+G36)</f>
        <v>73366800.838188827</v>
      </c>
      <c r="P20" s="8">
        <f>((('Sinasefe AB CD E'!B37-'Matriz Atual'!C51)/'Matriz Atual'!C51)*'Matriz Atual'!C51)*(F50+G50)</f>
        <v>23311746.778974604</v>
      </c>
      <c r="R20" s="8">
        <f>(B20+G20)*'Matriz Atual'!C21</f>
        <v>9939309.0800000001</v>
      </c>
      <c r="S20" s="8">
        <f>(C25+G25)*'Matriz Atual'!C26</f>
        <v>27374349.079999998</v>
      </c>
      <c r="T20" s="8">
        <f>(D30+G30)*'Matriz Atual'!C31</f>
        <v>87801792</v>
      </c>
      <c r="U20" s="8">
        <f>(E36+G36)*'Matriz Atual'!C37</f>
        <v>181878629.51999998</v>
      </c>
      <c r="V20" s="8">
        <f>(F50+G50)*'Matriz Atual'!C51</f>
        <v>201774891.78</v>
      </c>
    </row>
    <row r="21" spans="1:22" ht="15.75" customHeight="1">
      <c r="A21" s="20" t="s">
        <v>49</v>
      </c>
      <c r="B21" s="23">
        <v>0</v>
      </c>
      <c r="C21" s="59">
        <v>7</v>
      </c>
      <c r="D21" s="59">
        <v>1396</v>
      </c>
      <c r="E21" s="59">
        <v>767</v>
      </c>
      <c r="F21" s="23">
        <v>0</v>
      </c>
      <c r="G21" s="20"/>
      <c r="I21" s="54" t="s">
        <v>106</v>
      </c>
      <c r="J21" s="24">
        <f>('Sinasefe AB CD E'!B22-'Matriz Atual'!C32)/'Matriz Atual'!C32</f>
        <v>0.30000344233048976</v>
      </c>
      <c r="K21" s="21" t="s">
        <v>50</v>
      </c>
      <c r="L21" s="8">
        <f t="shared" ref="L21:P21" si="0">SUM(L2:L20)</f>
        <v>9865872.8956432156</v>
      </c>
      <c r="M21" s="8">
        <f t="shared" si="0"/>
        <v>17280429.138847314</v>
      </c>
      <c r="N21" s="8">
        <f t="shared" si="0"/>
        <v>97845367.176672935</v>
      </c>
      <c r="O21" s="8">
        <f t="shared" si="0"/>
        <v>156581113.26587069</v>
      </c>
      <c r="P21" s="8">
        <f t="shared" si="0"/>
        <v>55380792.709202893</v>
      </c>
      <c r="R21" s="8">
        <f t="shared" ref="R21:V21" si="1">SUM(R2:R20)</f>
        <v>10890678.99</v>
      </c>
      <c r="S21" s="8">
        <f t="shared" si="1"/>
        <v>30101941.559999999</v>
      </c>
      <c r="T21" s="8">
        <f t="shared" si="1"/>
        <v>127817515.77000001</v>
      </c>
      <c r="U21" s="8">
        <f t="shared" si="1"/>
        <v>388170167.24000001</v>
      </c>
      <c r="V21" s="8">
        <f t="shared" si="1"/>
        <v>479347858.50999999</v>
      </c>
    </row>
    <row r="22" spans="1:22" ht="15.75" customHeight="1">
      <c r="A22" s="20" t="s">
        <v>51</v>
      </c>
      <c r="B22" s="23">
        <v>0</v>
      </c>
      <c r="C22" s="59">
        <v>244</v>
      </c>
      <c r="D22" s="59">
        <v>997</v>
      </c>
      <c r="E22" s="59">
        <v>3000</v>
      </c>
      <c r="F22" s="23">
        <v>0</v>
      </c>
      <c r="G22" s="20"/>
      <c r="I22" s="54" t="s">
        <v>107</v>
      </c>
      <c r="J22" s="24">
        <f>('Sinasefe AB CD E'!B23-'Matriz Atual'!C33)/'Matriz Atual'!C33</f>
        <v>0.30000610115093918</v>
      </c>
      <c r="L22" s="24">
        <f t="shared" ref="L22:P22" si="2">L21/SUM($L$21:$P$21)</f>
        <v>2.927962076137719E-2</v>
      </c>
      <c r="M22" s="24">
        <f t="shared" si="2"/>
        <v>5.1284302679668194E-2</v>
      </c>
      <c r="N22" s="24">
        <f t="shared" si="2"/>
        <v>0.29038233864292134</v>
      </c>
      <c r="O22" s="24">
        <f t="shared" si="2"/>
        <v>0.46469639973200166</v>
      </c>
      <c r="P22" s="24">
        <f t="shared" si="2"/>
        <v>0.16435733818403164</v>
      </c>
      <c r="R22" s="18">
        <f t="shared" ref="R22:V22" si="3">R21/SUM($R$21:$V$21)</f>
        <v>1.0508909618210662E-2</v>
      </c>
      <c r="S22" s="18">
        <f t="shared" si="3"/>
        <v>2.9046727341533664E-2</v>
      </c>
      <c r="T22" s="18">
        <f t="shared" si="3"/>
        <v>0.12333691242616876</v>
      </c>
      <c r="U22" s="18">
        <f t="shared" si="3"/>
        <v>0.37456298250609599</v>
      </c>
      <c r="V22" s="18">
        <f t="shared" si="3"/>
        <v>0.46254446810799099</v>
      </c>
    </row>
    <row r="23" spans="1:22" ht="15.75" customHeight="1">
      <c r="A23" s="20" t="s">
        <v>52</v>
      </c>
      <c r="B23" s="23">
        <v>0</v>
      </c>
      <c r="C23" s="59">
        <v>201</v>
      </c>
      <c r="D23" s="59">
        <v>699</v>
      </c>
      <c r="E23" s="59">
        <v>1458</v>
      </c>
      <c r="F23" s="23">
        <v>0</v>
      </c>
      <c r="G23" s="20"/>
      <c r="I23" s="54" t="s">
        <v>108</v>
      </c>
      <c r="J23" s="24">
        <f>('Sinasefe AB CD E'!B24-'Matriz Atual'!C34)/'Matriz Atual'!C34</f>
        <v>0.30000606820213366</v>
      </c>
      <c r="R23" s="78" t="s">
        <v>53</v>
      </c>
      <c r="S23" s="72"/>
      <c r="T23" s="72"/>
      <c r="U23" s="72"/>
      <c r="V23" s="72"/>
    </row>
    <row r="24" spans="1:22" ht="15.75" customHeight="1">
      <c r="A24" s="20" t="s">
        <v>54</v>
      </c>
      <c r="B24" s="23">
        <v>0</v>
      </c>
      <c r="C24" s="59">
        <v>284</v>
      </c>
      <c r="D24" s="59">
        <v>282</v>
      </c>
      <c r="E24" s="59">
        <v>4146</v>
      </c>
      <c r="F24" s="23">
        <v>0</v>
      </c>
      <c r="G24" s="20"/>
      <c r="I24" s="54" t="s">
        <v>109</v>
      </c>
      <c r="J24" s="24">
        <f>('Sinasefe AB CD E'!B25-'Matriz Atual'!C35)/'Matriz Atual'!C35</f>
        <v>0.30000367923320387</v>
      </c>
      <c r="L24" s="19" t="s">
        <v>55</v>
      </c>
    </row>
    <row r="25" spans="1:22" ht="15.75" customHeight="1">
      <c r="A25" s="20" t="s">
        <v>56</v>
      </c>
      <c r="B25" s="23">
        <v>0</v>
      </c>
      <c r="C25" s="59">
        <v>2104</v>
      </c>
      <c r="D25" s="59">
        <v>317</v>
      </c>
      <c r="E25" s="59">
        <v>5364</v>
      </c>
      <c r="F25" s="23">
        <v>0</v>
      </c>
      <c r="G25" s="23">
        <v>5748</v>
      </c>
      <c r="I25" s="54" t="s">
        <v>110</v>
      </c>
      <c r="J25" s="24">
        <f>('Sinasefe AB CD E'!B26-'Matriz Atual'!C36)/'Matriz Atual'!C36</f>
        <v>0.30000436596905294</v>
      </c>
      <c r="L25" s="24">
        <f t="shared" ref="L25:P25" si="4">L21/R21</f>
        <v>0.90590062425880169</v>
      </c>
      <c r="M25" s="24">
        <f t="shared" si="4"/>
        <v>0.57406360664156819</v>
      </c>
      <c r="N25" s="24">
        <f t="shared" si="4"/>
        <v>0.76550828411295235</v>
      </c>
      <c r="O25" s="24">
        <f t="shared" si="4"/>
        <v>0.40338265657870315</v>
      </c>
      <c r="P25" s="24">
        <f t="shared" si="4"/>
        <v>0.11553361869884636</v>
      </c>
    </row>
    <row r="26" spans="1:22" ht="15.75" customHeight="1">
      <c r="A26" s="20" t="s">
        <v>57</v>
      </c>
      <c r="B26" s="23">
        <v>0</v>
      </c>
      <c r="C26" s="23">
        <v>0</v>
      </c>
      <c r="D26" s="59">
        <v>498</v>
      </c>
      <c r="E26" s="59">
        <v>7448</v>
      </c>
      <c r="F26" s="23">
        <v>0</v>
      </c>
      <c r="G26" s="20"/>
      <c r="I26" s="54" t="s">
        <v>111</v>
      </c>
      <c r="J26" s="24">
        <f>('Sinasefe AB CD E'!B27-'Matriz Atual'!C37)/'Matriz Atual'!C37</f>
        <v>0.30000555324801365</v>
      </c>
    </row>
    <row r="27" spans="1:22" ht="15.75" customHeight="1">
      <c r="A27" s="20" t="s">
        <v>58</v>
      </c>
      <c r="B27" s="23">
        <v>0</v>
      </c>
      <c r="C27" s="23">
        <v>0</v>
      </c>
      <c r="D27" s="59">
        <v>1703</v>
      </c>
      <c r="E27" s="59">
        <v>5525</v>
      </c>
      <c r="F27" s="23">
        <v>0</v>
      </c>
      <c r="G27" s="20"/>
      <c r="I27" s="54" t="s">
        <v>112</v>
      </c>
      <c r="J27" s="24">
        <f>('Sinasefe AB CD E'!B28-'Matriz Atual'!C38)/'Matriz Atual'!C38</f>
        <v>0.3000052516657814</v>
      </c>
    </row>
    <row r="28" spans="1:22" ht="15.75" customHeight="1">
      <c r="A28" s="20" t="s">
        <v>59</v>
      </c>
      <c r="B28" s="23">
        <v>0</v>
      </c>
      <c r="C28" s="23">
        <v>0</v>
      </c>
      <c r="D28" s="59">
        <v>767</v>
      </c>
      <c r="E28" s="59">
        <v>4903</v>
      </c>
      <c r="F28" s="23">
        <v>0</v>
      </c>
      <c r="G28" s="20"/>
      <c r="I28" s="54" t="s">
        <v>113</v>
      </c>
      <c r="J28" s="24">
        <f>('Sinasefe AB CD E'!B29-'Matriz Atual'!C39)/'Matriz Atual'!C39</f>
        <v>0.30000434686550059</v>
      </c>
    </row>
    <row r="29" spans="1:22" ht="15.75" customHeight="1">
      <c r="A29" s="20" t="s">
        <v>60</v>
      </c>
      <c r="B29" s="23">
        <v>0</v>
      </c>
      <c r="C29" s="23">
        <v>0</v>
      </c>
      <c r="D29" s="59">
        <v>690</v>
      </c>
      <c r="E29" s="59">
        <v>5280</v>
      </c>
      <c r="F29" s="23">
        <v>0</v>
      </c>
      <c r="G29" s="20"/>
      <c r="I29" s="54" t="s">
        <v>114</v>
      </c>
      <c r="J29" s="24">
        <f>('Sinasefe AB CD E'!B30-'Matriz Atual'!C40)/'Matriz Atual'!C40</f>
        <v>0.3000040020228672</v>
      </c>
    </row>
    <row r="30" spans="1:22" ht="15.75" customHeight="1">
      <c r="A30" s="20" t="s">
        <v>61</v>
      </c>
      <c r="B30" s="23">
        <v>0</v>
      </c>
      <c r="C30" s="23">
        <v>0</v>
      </c>
      <c r="D30" s="59">
        <v>5315</v>
      </c>
      <c r="E30" s="59">
        <v>3721</v>
      </c>
      <c r="F30" s="23">
        <v>0</v>
      </c>
      <c r="G30" s="23">
        <v>15485</v>
      </c>
      <c r="I30" s="54" t="s">
        <v>115</v>
      </c>
      <c r="J30" s="24">
        <f>('Sinasefe AB CD E'!B31-'Matriz Atual'!C41)/'Matriz Atual'!C41</f>
        <v>0.30000569092629137</v>
      </c>
    </row>
    <row r="31" spans="1:22" ht="15.75" customHeight="1">
      <c r="A31" s="20" t="s">
        <v>62</v>
      </c>
      <c r="B31" s="23">
        <v>0</v>
      </c>
      <c r="C31" s="23">
        <v>0</v>
      </c>
      <c r="D31" s="23">
        <v>0</v>
      </c>
      <c r="E31" s="59">
        <v>1668</v>
      </c>
      <c r="F31" s="23">
        <v>0</v>
      </c>
      <c r="G31" s="20"/>
      <c r="I31" s="54" t="s">
        <v>116</v>
      </c>
      <c r="J31" s="24">
        <f>('Sinasefe AB CD E'!B32-'Matriz Atual'!C42)/'Matriz Atual'!C42</f>
        <v>0.30000515515495019</v>
      </c>
    </row>
    <row r="32" spans="1:22" ht="15.75" customHeight="1">
      <c r="A32" s="22" t="s">
        <v>63</v>
      </c>
      <c r="B32" s="23">
        <v>0</v>
      </c>
      <c r="C32" s="23">
        <v>0</v>
      </c>
      <c r="D32" s="23">
        <v>0</v>
      </c>
      <c r="E32" s="59">
        <v>1655</v>
      </c>
      <c r="F32" s="59">
        <v>2214</v>
      </c>
      <c r="G32" s="20"/>
      <c r="I32" s="54" t="s">
        <v>117</v>
      </c>
      <c r="J32" s="24">
        <f>('Sinasefe AB CD E'!B33-'Matriz Atual'!C43)/'Matriz Atual'!C43</f>
        <v>0.30000523104459348</v>
      </c>
    </row>
    <row r="33" spans="1:10" ht="15.75" customHeight="1">
      <c r="A33" s="20" t="s">
        <v>64</v>
      </c>
      <c r="B33" s="23">
        <v>0</v>
      </c>
      <c r="C33" s="23">
        <v>0</v>
      </c>
      <c r="D33" s="23">
        <v>0</v>
      </c>
      <c r="E33" s="59">
        <v>2761</v>
      </c>
      <c r="F33" s="59">
        <v>259</v>
      </c>
      <c r="G33" s="20"/>
      <c r="I33" s="54" t="s">
        <v>118</v>
      </c>
      <c r="J33" s="24">
        <f>('Sinasefe AB CD E'!B34-'Matriz Atual'!C44)/'Matriz Atual'!C44</f>
        <v>0.30000343685930453</v>
      </c>
    </row>
    <row r="34" spans="1:10" ht="15.75" customHeight="1">
      <c r="A34" s="20" t="s">
        <v>65</v>
      </c>
      <c r="B34" s="23">
        <v>0</v>
      </c>
      <c r="C34" s="23">
        <v>0</v>
      </c>
      <c r="D34" s="23">
        <v>0</v>
      </c>
      <c r="E34" s="59">
        <v>1057</v>
      </c>
      <c r="F34" s="59">
        <v>1082</v>
      </c>
      <c r="G34" s="20"/>
      <c r="I34" s="54" t="s">
        <v>119</v>
      </c>
      <c r="J34" s="24">
        <f>('Sinasefe AB CD E'!B35-'Matriz Atual'!C45)/'Matriz Atual'!C45</f>
        <v>0.30000384423415172</v>
      </c>
    </row>
    <row r="35" spans="1:10" ht="15.75" customHeight="1">
      <c r="A35" s="20" t="s">
        <v>66</v>
      </c>
      <c r="B35" s="23">
        <v>0</v>
      </c>
      <c r="C35" s="23">
        <v>0</v>
      </c>
      <c r="D35" s="23">
        <v>0</v>
      </c>
      <c r="E35" s="59">
        <v>915</v>
      </c>
      <c r="F35" s="59">
        <v>633</v>
      </c>
      <c r="G35" s="20"/>
      <c r="I35" s="54" t="s">
        <v>120</v>
      </c>
      <c r="J35" s="24">
        <f>('Sinasefe AB CD E'!B36-'Matriz Atual'!C46)/'Matriz Atual'!C46</f>
        <v>0.30000557044569909</v>
      </c>
    </row>
    <row r="36" spans="1:10" ht="15.75" customHeight="1">
      <c r="A36" s="20" t="s">
        <v>67</v>
      </c>
      <c r="B36" s="23">
        <v>0</v>
      </c>
      <c r="C36" s="23">
        <v>0</v>
      </c>
      <c r="D36" s="23">
        <v>0</v>
      </c>
      <c r="E36" s="59">
        <v>8119</v>
      </c>
      <c r="F36" s="59">
        <v>2205</v>
      </c>
      <c r="G36" s="23">
        <v>26130</v>
      </c>
      <c r="I36" s="54" t="s">
        <v>121</v>
      </c>
      <c r="J36" s="24">
        <f>('Sinasefe AB CD E'!B37-'Matriz Atual'!C47)/'Matriz Atual'!C47</f>
        <v>0.30000541849688767</v>
      </c>
    </row>
    <row r="37" spans="1:10" ht="15.75" customHeight="1">
      <c r="A37" s="20" t="s">
        <v>68</v>
      </c>
      <c r="B37" s="23">
        <v>0</v>
      </c>
      <c r="C37" s="23">
        <v>0</v>
      </c>
      <c r="D37" s="23">
        <v>0</v>
      </c>
      <c r="E37" s="23">
        <v>0</v>
      </c>
      <c r="F37" s="59">
        <v>1091</v>
      </c>
      <c r="G37" s="20"/>
      <c r="I37" s="54" t="s">
        <v>122</v>
      </c>
      <c r="J37" s="24">
        <f>('Sinasefe AB CD E'!B38-'Matriz Atual'!C48)/'Matriz Atual'!C48</f>
        <v>0.30000324089299363</v>
      </c>
    </row>
    <row r="38" spans="1:10" ht="15.75" customHeight="1">
      <c r="A38" s="20" t="s">
        <v>69</v>
      </c>
      <c r="B38" s="23">
        <v>0</v>
      </c>
      <c r="C38" s="23">
        <v>0</v>
      </c>
      <c r="D38" s="23">
        <v>0</v>
      </c>
      <c r="E38" s="23">
        <v>0</v>
      </c>
      <c r="F38" s="59">
        <v>2991</v>
      </c>
      <c r="G38" s="20"/>
    </row>
    <row r="39" spans="1:10" ht="15.75" customHeight="1">
      <c r="A39" s="20" t="s">
        <v>70</v>
      </c>
      <c r="B39" s="23">
        <v>0</v>
      </c>
      <c r="C39" s="23">
        <v>0</v>
      </c>
      <c r="D39" s="23">
        <v>0</v>
      </c>
      <c r="E39" s="23">
        <v>0</v>
      </c>
      <c r="F39" s="59">
        <v>3635</v>
      </c>
      <c r="G39" s="20"/>
    </row>
    <row r="40" spans="1:10" ht="15.75" customHeight="1">
      <c r="A40" s="20" t="s">
        <v>71</v>
      </c>
      <c r="B40" s="23">
        <v>0</v>
      </c>
      <c r="C40" s="23">
        <v>0</v>
      </c>
      <c r="D40" s="23">
        <v>0</v>
      </c>
      <c r="E40" s="23">
        <v>0</v>
      </c>
      <c r="F40" s="59">
        <v>5120</v>
      </c>
      <c r="G40" s="20"/>
    </row>
    <row r="41" spans="1:10" ht="15.75" customHeight="1">
      <c r="A41" s="20" t="s">
        <v>72</v>
      </c>
      <c r="B41" s="23">
        <v>0</v>
      </c>
      <c r="C41" s="23">
        <v>0</v>
      </c>
      <c r="D41" s="23">
        <v>0</v>
      </c>
      <c r="E41" s="23">
        <v>0</v>
      </c>
      <c r="F41" s="59">
        <v>4471</v>
      </c>
      <c r="G41" s="20"/>
    </row>
    <row r="42" spans="1:10" ht="15.75" customHeight="1">
      <c r="A42" s="20" t="s">
        <v>73</v>
      </c>
      <c r="B42" s="23">
        <v>0</v>
      </c>
      <c r="C42" s="23">
        <v>0</v>
      </c>
      <c r="D42" s="23">
        <v>0</v>
      </c>
      <c r="E42" s="23">
        <v>0</v>
      </c>
      <c r="F42" s="59">
        <v>3461</v>
      </c>
      <c r="G42" s="20"/>
    </row>
    <row r="43" spans="1:10" ht="15.75" customHeight="1">
      <c r="A43" s="20" t="s">
        <v>74</v>
      </c>
      <c r="B43" s="23">
        <v>0</v>
      </c>
      <c r="C43" s="23">
        <v>0</v>
      </c>
      <c r="D43" s="23">
        <v>0</v>
      </c>
      <c r="E43" s="23">
        <v>0</v>
      </c>
      <c r="F43" s="59">
        <v>5121</v>
      </c>
      <c r="G43" s="20"/>
    </row>
    <row r="44" spans="1:10" ht="15.75" customHeight="1">
      <c r="A44" s="20" t="s">
        <v>75</v>
      </c>
      <c r="B44" s="23">
        <v>0</v>
      </c>
      <c r="C44" s="23">
        <v>0</v>
      </c>
      <c r="D44" s="23">
        <v>0</v>
      </c>
      <c r="E44" s="23">
        <v>0</v>
      </c>
      <c r="F44" s="59">
        <v>3723</v>
      </c>
      <c r="G44" s="20"/>
    </row>
    <row r="45" spans="1:10" ht="15.75" customHeight="1">
      <c r="A45" s="20" t="s">
        <v>76</v>
      </c>
      <c r="B45" s="23">
        <v>0</v>
      </c>
      <c r="C45" s="23">
        <v>0</v>
      </c>
      <c r="D45" s="23">
        <v>0</v>
      </c>
      <c r="E45" s="23">
        <v>0</v>
      </c>
      <c r="F45" s="59">
        <v>1776</v>
      </c>
      <c r="G45" s="20"/>
    </row>
    <row r="46" spans="1:10" ht="15.75" customHeight="1">
      <c r="A46" s="20" t="s">
        <v>77</v>
      </c>
      <c r="B46" s="23">
        <v>0</v>
      </c>
      <c r="C46" s="23">
        <v>0</v>
      </c>
      <c r="D46" s="23">
        <v>0</v>
      </c>
      <c r="E46" s="23">
        <v>0</v>
      </c>
      <c r="F46" s="59">
        <v>1632</v>
      </c>
      <c r="G46" s="20"/>
    </row>
    <row r="47" spans="1:10" ht="15.75" customHeight="1">
      <c r="A47" s="20" t="s">
        <v>78</v>
      </c>
      <c r="B47" s="23">
        <v>0</v>
      </c>
      <c r="C47" s="23">
        <v>0</v>
      </c>
      <c r="D47" s="23">
        <v>0</v>
      </c>
      <c r="E47" s="23">
        <v>0</v>
      </c>
      <c r="F47" s="59">
        <v>2209</v>
      </c>
      <c r="G47" s="20"/>
    </row>
    <row r="48" spans="1:10" ht="15.75" customHeight="1">
      <c r="A48" s="20" t="s">
        <v>79</v>
      </c>
      <c r="B48" s="23">
        <v>0</v>
      </c>
      <c r="C48" s="23">
        <v>0</v>
      </c>
      <c r="D48" s="23">
        <v>0</v>
      </c>
      <c r="E48" s="23">
        <v>0</v>
      </c>
      <c r="F48" s="59">
        <v>824</v>
      </c>
      <c r="G48" s="20"/>
    </row>
    <row r="49" spans="1:7" ht="15.75" customHeight="1">
      <c r="A49" s="20" t="s">
        <v>80</v>
      </c>
      <c r="B49" s="23">
        <v>0</v>
      </c>
      <c r="C49" s="23">
        <v>0</v>
      </c>
      <c r="D49" s="23">
        <v>0</v>
      </c>
      <c r="E49" s="23">
        <v>0</v>
      </c>
      <c r="F49" s="59">
        <v>505</v>
      </c>
      <c r="G49" s="20"/>
    </row>
    <row r="50" spans="1:7" ht="15.75" customHeight="1">
      <c r="A50" s="20" t="s">
        <v>81</v>
      </c>
      <c r="B50" s="23">
        <v>0</v>
      </c>
      <c r="C50" s="23">
        <v>0</v>
      </c>
      <c r="D50" s="23">
        <v>0</v>
      </c>
      <c r="E50" s="23">
        <v>0</v>
      </c>
      <c r="F50" s="59">
        <v>3601</v>
      </c>
      <c r="G50" s="23">
        <v>18638</v>
      </c>
    </row>
    <row r="51" spans="1:7" ht="15.75" customHeight="1">
      <c r="A51" s="20" t="s">
        <v>82</v>
      </c>
      <c r="B51" s="23">
        <f t="shared" ref="B51:G51" si="5">SUM(B2:B50)</f>
        <v>1534</v>
      </c>
      <c r="C51" s="23">
        <f t="shared" si="5"/>
        <v>2975</v>
      </c>
      <c r="D51" s="23">
        <f t="shared" si="5"/>
        <v>17957</v>
      </c>
      <c r="E51" s="23">
        <f t="shared" si="5"/>
        <v>63427</v>
      </c>
      <c r="F51" s="23">
        <f t="shared" si="5"/>
        <v>46553</v>
      </c>
      <c r="G51" s="23">
        <f t="shared" si="5"/>
        <v>68280</v>
      </c>
    </row>
    <row r="52" spans="1:7" ht="15.75" customHeight="1"/>
    <row r="53" spans="1:7" ht="15.75" customHeight="1"/>
    <row r="54" spans="1:7" ht="15.75" customHeight="1"/>
    <row r="55" spans="1:7" ht="15.7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R23:V23"/>
  </mergeCells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000"/>
  <sheetViews>
    <sheetView workbookViewId="0">
      <selection activeCell="G47" sqref="G47"/>
    </sheetView>
  </sheetViews>
  <sheetFormatPr defaultColWidth="14.42578125" defaultRowHeight="15" customHeight="1"/>
  <cols>
    <col min="1" max="6" width="9.140625" customWidth="1"/>
    <col min="7" max="7" width="12.85546875" customWidth="1"/>
    <col min="8" max="8" width="9.140625" customWidth="1"/>
    <col min="9" max="9" width="6.7109375" customWidth="1"/>
    <col min="10" max="10" width="6.140625" bestFit="1" customWidth="1"/>
    <col min="11" max="11" width="9.140625" customWidth="1"/>
    <col min="12" max="12" width="19.140625" customWidth="1"/>
    <col min="13" max="13" width="15.42578125" bestFit="1" customWidth="1"/>
    <col min="14" max="14" width="15.42578125" customWidth="1"/>
    <col min="15" max="15" width="16.42578125" bestFit="1" customWidth="1"/>
    <col min="16" max="16" width="15.42578125" customWidth="1"/>
    <col min="17" max="26" width="9.140625" customWidth="1"/>
  </cols>
  <sheetData>
    <row r="1" spans="1:22" ht="30">
      <c r="A1" s="20" t="s">
        <v>22</v>
      </c>
      <c r="B1" s="20" t="s">
        <v>164</v>
      </c>
      <c r="C1" s="20" t="s">
        <v>165</v>
      </c>
      <c r="D1" s="20" t="s">
        <v>166</v>
      </c>
      <c r="E1" s="20" t="s">
        <v>167</v>
      </c>
      <c r="F1" s="20" t="s">
        <v>168</v>
      </c>
      <c r="G1" s="20" t="s">
        <v>169</v>
      </c>
      <c r="I1" s="1" t="s">
        <v>29</v>
      </c>
      <c r="L1" s="21" t="s">
        <v>7</v>
      </c>
      <c r="M1" s="21" t="s">
        <v>8</v>
      </c>
      <c r="N1" s="21" t="s">
        <v>9</v>
      </c>
      <c r="O1" s="21" t="s">
        <v>10</v>
      </c>
      <c r="P1" s="21" t="s">
        <v>11</v>
      </c>
      <c r="R1" s="21" t="s">
        <v>7</v>
      </c>
      <c r="S1" s="21" t="s">
        <v>8</v>
      </c>
      <c r="T1" s="21" t="s">
        <v>9</v>
      </c>
      <c r="U1" s="21" t="s">
        <v>10</v>
      </c>
      <c r="V1" s="21" t="s">
        <v>11</v>
      </c>
    </row>
    <row r="2" spans="1:22">
      <c r="A2" s="22" t="s">
        <v>170</v>
      </c>
      <c r="B2" s="59">
        <v>0</v>
      </c>
      <c r="C2" s="23">
        <v>0</v>
      </c>
      <c r="D2" s="23">
        <v>0</v>
      </c>
      <c r="E2" s="23">
        <v>0</v>
      </c>
      <c r="F2" s="23">
        <v>0</v>
      </c>
      <c r="G2" s="20"/>
      <c r="I2" s="54" t="s">
        <v>87</v>
      </c>
      <c r="J2" s="24">
        <f>(Sinasefe!B3-'Matriz Atual'!C13)/'Matriz Atual'!C13</f>
        <v>0.29999999999999988</v>
      </c>
      <c r="K2" s="25">
        <v>1</v>
      </c>
      <c r="L2" s="55">
        <f>(((Sinasefe!B3-'Matriz Atual'!C3)/'Matriz Atual'!C3)*'Matriz Atual'!C3)*B2</f>
        <v>0</v>
      </c>
      <c r="M2" s="8">
        <f>(((Sinasefe!B3-'Matriz Atual'!C8)/'Matriz Atual'!C8)*'Matriz Atual'!C8)*(C7)</f>
        <v>0</v>
      </c>
      <c r="N2" s="8">
        <f>(((Sinasefe!B3-'Matriz Atual'!C13)/'Matriz Atual'!C13)*'Matriz Atual'!C13)*(D12)</f>
        <v>96677.927999999956</v>
      </c>
      <c r="O2" s="8">
        <f>(((Sinasefe!B11-'Matriz Atual'!C19)/'Matriz Atual'!C19)*'Matriz Atual'!C19)*(E18)</f>
        <v>3882921.6875971947</v>
      </c>
      <c r="P2" s="8">
        <f>(((Sinasefe!B19-'Matriz Atual'!C33)/'Matriz Atual'!C33)*'Matriz Atual'!C33)*(F32)</f>
        <v>1165635.0129464953</v>
      </c>
      <c r="R2" s="8">
        <f>B2*'Matriz Atual'!C3</f>
        <v>0</v>
      </c>
      <c r="S2" s="8">
        <f>C7*'Matriz Atual'!C8</f>
        <v>0</v>
      </c>
      <c r="T2" s="8">
        <f>D12*'Matriz Atual'!C13</f>
        <v>322259.76</v>
      </c>
      <c r="U2" s="8">
        <f>E18*'Matriz Atual'!C19</f>
        <v>9625888.7100000009</v>
      </c>
      <c r="V2" s="8">
        <f>F32*'Matriz Atual'!C33</f>
        <v>10089020.880000001</v>
      </c>
    </row>
    <row r="3" spans="1:22">
      <c r="A3" s="20" t="s">
        <v>171</v>
      </c>
      <c r="B3" s="59">
        <v>0</v>
      </c>
      <c r="C3" s="23">
        <v>0</v>
      </c>
      <c r="D3" s="23">
        <v>0</v>
      </c>
      <c r="E3" s="23">
        <v>0</v>
      </c>
      <c r="F3" s="23">
        <v>0</v>
      </c>
      <c r="G3" s="20"/>
      <c r="I3" s="54" t="s">
        <v>88</v>
      </c>
      <c r="J3" s="24">
        <f>(Sinasefe!B4-'Matriz Atual'!C14)/'Matriz Atual'!C14</f>
        <v>0.30000889368076966</v>
      </c>
      <c r="K3" s="25">
        <v>2</v>
      </c>
      <c r="L3" s="55">
        <f>(((Sinasefe!B4-'Matriz Atual'!C4)/'Matriz Atual'!C4)*'Matriz Atual'!C4)*B3</f>
        <v>0</v>
      </c>
      <c r="M3" s="8">
        <f>(((Sinasefe!B4-'Matriz Atual'!C9)/'Matriz Atual'!C9)*'Matriz Atual'!C9)*(C8)</f>
        <v>2088.7591819999993</v>
      </c>
      <c r="N3" s="8">
        <f>(((Sinasefe!B4-'Matriz Atual'!C14)/'Matriz Atual'!C14)*'Matriz Atual'!C14)*(D13)</f>
        <v>11895.47263799999</v>
      </c>
      <c r="O3" s="8">
        <f>(((Sinasefe!B12-'Matriz Atual'!C20)/'Matriz Atual'!C20)*'Matriz Atual'!C20)*(E19)</f>
        <v>323058.67987722566</v>
      </c>
      <c r="P3" s="8">
        <f>(((Sinasefe!B20-'Matriz Atual'!C34)/'Matriz Atual'!C34)*'Matriz Atual'!C34)*(F33)</f>
        <v>141677.27136756771</v>
      </c>
      <c r="R3" s="8">
        <f>B3*'Matriz Atual'!C4</f>
        <v>0</v>
      </c>
      <c r="S3" s="8">
        <f>C8*'Matriz Atual'!C9</f>
        <v>3638.56</v>
      </c>
      <c r="T3" s="8">
        <f>D13*'Matriz Atual'!C14</f>
        <v>39650.400000000001</v>
      </c>
      <c r="U3" s="8">
        <f>E19*'Matriz Atual'!C20</f>
        <v>800882.58</v>
      </c>
      <c r="V3" s="8">
        <f>F33*'Matriz Atual'!C34</f>
        <v>1226271.76</v>
      </c>
    </row>
    <row r="4" spans="1:22">
      <c r="A4" s="20" t="s">
        <v>172</v>
      </c>
      <c r="B4" s="59">
        <v>0</v>
      </c>
      <c r="C4" s="23">
        <v>0</v>
      </c>
      <c r="D4" s="23">
        <v>0</v>
      </c>
      <c r="E4" s="23">
        <v>0</v>
      </c>
      <c r="F4" s="23">
        <v>0</v>
      </c>
      <c r="G4" s="20"/>
      <c r="I4" s="54" t="s">
        <v>89</v>
      </c>
      <c r="J4" s="24">
        <f>(Sinasefe!B5-'Matriz Atual'!C15)/'Matriz Atual'!C15</f>
        <v>0.30000275920558217</v>
      </c>
      <c r="K4" s="25">
        <v>3</v>
      </c>
      <c r="L4" s="55">
        <f>(((Sinasefe!B5-'Matriz Atual'!C5)/'Matriz Atual'!C5)*'Matriz Atual'!C5)*B4</f>
        <v>0</v>
      </c>
      <c r="M4" s="8">
        <f>(((Sinasefe!B5-'Matriz Atual'!C10)/'Matriz Atual'!C10)*'Matriz Atual'!C10)*(C9)</f>
        <v>0</v>
      </c>
      <c r="N4" s="8">
        <f>(((Sinasefe!B5-'Matriz Atual'!C15)/'Matriz Atual'!C15)*'Matriz Atual'!C15)*(D14)</f>
        <v>60422.763724311997</v>
      </c>
      <c r="O4" s="8">
        <f>(((Sinasefe!B13-'Matriz Atual'!C21)/'Matriz Atual'!C21)*'Matriz Atual'!C21)*(E20)</f>
        <v>2023252.5847739303</v>
      </c>
      <c r="P4" s="8">
        <f>(((Sinasefe!B21-'Matriz Atual'!C35)/'Matriz Atual'!C35)*'Matriz Atual'!C35)*(F34)</f>
        <v>614945.06473110791</v>
      </c>
      <c r="R4" s="8">
        <f>B4*'Matriz Atual'!C5</f>
        <v>0</v>
      </c>
      <c r="S4" s="8">
        <f>C9*'Matriz Atual'!C10</f>
        <v>0</v>
      </c>
      <c r="T4" s="8">
        <f>D14*'Matriz Atual'!C15</f>
        <v>201407.35999999999</v>
      </c>
      <c r="U4" s="8">
        <f>E20*'Matriz Atual'!C21</f>
        <v>5015723.18</v>
      </c>
      <c r="V4" s="8">
        <f>F34*'Matriz Atual'!C35</f>
        <v>5322682.6000000006</v>
      </c>
    </row>
    <row r="5" spans="1:22">
      <c r="A5" s="20" t="s">
        <v>173</v>
      </c>
      <c r="B5" s="59">
        <v>0</v>
      </c>
      <c r="C5" s="23">
        <v>0</v>
      </c>
      <c r="D5" s="23">
        <v>0</v>
      </c>
      <c r="E5" s="23">
        <v>0</v>
      </c>
      <c r="F5" s="23">
        <v>0</v>
      </c>
      <c r="G5" s="20"/>
      <c r="I5" s="54" t="s">
        <v>90</v>
      </c>
      <c r="J5" s="24">
        <f>(Sinasefe!B6-'Matriz Atual'!C16)/'Matriz Atual'!C16</f>
        <v>0.30000280294027309</v>
      </c>
      <c r="K5" s="26">
        <v>4</v>
      </c>
      <c r="L5" s="55">
        <f>(((Sinasefe!B6-'Matriz Atual'!C6)/'Matriz Atual'!C6)*'Matriz Atual'!C6)*B5</f>
        <v>0</v>
      </c>
      <c r="M5" s="8">
        <f>(((Sinasefe!B6-'Matriz Atual'!C11)/'Matriz Atual'!C11)*'Matriz Atual'!C11)*(C10)</f>
        <v>1127.4306653359106</v>
      </c>
      <c r="N5" s="8">
        <f>(((Sinasefe!B6-'Matriz Atual'!C16)/'Matriz Atual'!C16)*'Matriz Atual'!C16)*(D15)</f>
        <v>63492.659214896048</v>
      </c>
      <c r="O5" s="8">
        <f>(((Sinasefe!B14-'Matriz Atual'!C22)/'Matriz Atual'!C22)*'Matriz Atual'!C22)*(E21)</f>
        <v>925579.43370452733</v>
      </c>
      <c r="P5" s="8">
        <f>(((Sinasefe!B22-'Matriz Atual'!C36)/'Matriz Atual'!C36)*'Matriz Atual'!C36)*(F35)</f>
        <v>373792.25881146814</v>
      </c>
      <c r="R5" s="8">
        <f>B5*'Matriz Atual'!C6</f>
        <v>0</v>
      </c>
      <c r="S5" s="8">
        <f>C10*'Matriz Atual'!C11</f>
        <v>1963.95</v>
      </c>
      <c r="T5" s="8">
        <f>D15*'Matriz Atual'!C16</f>
        <v>211640.22</v>
      </c>
      <c r="U5" s="8">
        <f>E21*'Matriz Atual'!C22</f>
        <v>2294541.86</v>
      </c>
      <c r="V5" s="8">
        <f>F35*'Matriz Atual'!C36</f>
        <v>3235357.9499999997</v>
      </c>
    </row>
    <row r="6" spans="1:22">
      <c r="A6" s="20" t="s">
        <v>174</v>
      </c>
      <c r="B6" s="59">
        <v>0</v>
      </c>
      <c r="C6" s="23">
        <v>0</v>
      </c>
      <c r="D6" s="23">
        <v>0</v>
      </c>
      <c r="E6" s="23">
        <v>0</v>
      </c>
      <c r="F6" s="23">
        <v>0</v>
      </c>
      <c r="G6" s="20"/>
      <c r="I6" s="54" t="s">
        <v>91</v>
      </c>
      <c r="J6" s="24">
        <f>(Sinasefe!B7-'Matriz Atual'!C17)/'Matriz Atual'!C17</f>
        <v>0.30000870651918321</v>
      </c>
      <c r="K6" s="26">
        <v>5</v>
      </c>
      <c r="L6" s="55">
        <f>(((Sinasefe!B7-'Matriz Atual'!C7)/'Matriz Atual'!C7)*'Matriz Atual'!C7)*B6</f>
        <v>0</v>
      </c>
      <c r="M6" s="8">
        <f>(((Sinasefe!B7-'Matriz Atual'!C12)/'Matriz Atual'!C12)*'Matriz Atual'!C12)*(C11)</f>
        <v>0</v>
      </c>
      <c r="N6" s="8">
        <f>(((Sinasefe!B7-'Matriz Atual'!C17)/'Matriz Atual'!C17)*'Matriz Atual'!C17)*(D16)</f>
        <v>193462.20744512693</v>
      </c>
      <c r="O6" s="8">
        <f>(((Sinasefe!B15-'Matriz Atual'!C23)/'Matriz Atual'!C23)*'Matriz Atual'!C23)*(E22)</f>
        <v>3761453.4843246574</v>
      </c>
      <c r="P6" s="8">
        <f>(((Sinasefe!B23-'Matriz Atual'!C37)/'Matriz Atual'!C37)*'Matriz Atual'!C37)*(F36)</f>
        <v>1352864.0844171082</v>
      </c>
      <c r="R6" s="8">
        <f>B6*'Matriz Atual'!C7</f>
        <v>0</v>
      </c>
      <c r="S6" s="8">
        <f>C11*'Matriz Atual'!C12</f>
        <v>0</v>
      </c>
      <c r="T6" s="8">
        <f>D16*'Matriz Atual'!C17</f>
        <v>644855.31000000006</v>
      </c>
      <c r="U6" s="8">
        <f>E22*'Matriz Atual'!C23</f>
        <v>9324750</v>
      </c>
      <c r="V6" s="8">
        <f>F36*'Matriz Atual'!C37</f>
        <v>11709608.399999999</v>
      </c>
    </row>
    <row r="7" spans="1:22">
      <c r="A7" s="22" t="s">
        <v>175</v>
      </c>
      <c r="B7" s="59">
        <v>0</v>
      </c>
      <c r="C7" s="59">
        <v>0</v>
      </c>
      <c r="D7" s="23">
        <v>0</v>
      </c>
      <c r="E7" s="23">
        <v>0</v>
      </c>
      <c r="F7" s="23">
        <v>0</v>
      </c>
      <c r="G7" s="20"/>
      <c r="I7" s="54" t="s">
        <v>92</v>
      </c>
      <c r="J7" s="24">
        <f>(Sinasefe!B8-'Matriz Atual'!C18)/'Matriz Atual'!C18</f>
        <v>0.30000247254627355</v>
      </c>
      <c r="K7" s="26">
        <v>6</v>
      </c>
      <c r="L7" s="55">
        <f>(((Sinasefe!B8-'Matriz Atual'!C8)/'Matriz Atual'!C8)*'Matriz Atual'!C8)*B7</f>
        <v>0</v>
      </c>
      <c r="M7" s="8">
        <f>(((Sinasefe!B8-'Matriz Atual'!C13)/'Matriz Atual'!C13)*'Matriz Atual'!C13)*(C12)</f>
        <v>4868.321388896351</v>
      </c>
      <c r="N7" s="8">
        <f>(((Sinasefe!B8-'Matriz Atual'!C18)/'Matriz Atual'!C18)*'Matriz Atual'!C18)*(D17)</f>
        <v>276476.79465344758</v>
      </c>
      <c r="O7" s="8">
        <f>(((Sinasefe!B16-'Matriz Atual'!C24)/'Matriz Atual'!C24)*'Matriz Atual'!C24)*(E23)</f>
        <v>1899363.5342236734</v>
      </c>
      <c r="P7" s="8">
        <f>(((Sinasefe!B24-'Matriz Atual'!C38)/'Matriz Atual'!C38)*'Matriz Atual'!C38)*(F37)</f>
        <v>695480.56725103257</v>
      </c>
      <c r="R7" s="8">
        <f>B7*'Matriz Atual'!C8</f>
        <v>0</v>
      </c>
      <c r="S7" s="8">
        <f>C12*'Matriz Atual'!C13</f>
        <v>8480.52</v>
      </c>
      <c r="T7" s="8">
        <f>D17*'Matriz Atual'!C18</f>
        <v>921581.72</v>
      </c>
      <c r="U7" s="8">
        <f>E23*'Matriz Atual'!C24</f>
        <v>4708567.26</v>
      </c>
      <c r="V7" s="8">
        <f>F37*'Matriz Atual'!C38</f>
        <v>6019690.6900000004</v>
      </c>
    </row>
    <row r="8" spans="1:22">
      <c r="A8" s="20" t="s">
        <v>176</v>
      </c>
      <c r="B8" s="59">
        <v>0</v>
      </c>
      <c r="C8" s="59">
        <v>2</v>
      </c>
      <c r="D8" s="23">
        <v>0</v>
      </c>
      <c r="E8" s="23">
        <v>0</v>
      </c>
      <c r="F8" s="23">
        <v>0</v>
      </c>
      <c r="G8" s="20"/>
      <c r="I8" s="54" t="s">
        <v>93</v>
      </c>
      <c r="J8" s="24">
        <f>(Sinasefe!B9-'Matriz Atual'!C19)/'Matriz Atual'!C19</f>
        <v>0.30000545546654994</v>
      </c>
      <c r="K8" s="26">
        <v>7</v>
      </c>
      <c r="L8" s="55">
        <f>(((Sinasefe!B9-'Matriz Atual'!C9)/'Matriz Atual'!C9)*'Matriz Atual'!C9)*B8</f>
        <v>0</v>
      </c>
      <c r="M8" s="8">
        <f>(((Sinasefe!B9-'Matriz Atual'!C14)/'Matriz Atual'!C14)*'Matriz Atual'!C14)*(C13)</f>
        <v>2529.1231015316544</v>
      </c>
      <c r="N8" s="8">
        <f>(((Sinasefe!B9-'Matriz Atual'!C19)/'Matriz Atual'!C19)*'Matriz Atual'!C19)*(D18)</f>
        <v>820976.01108573878</v>
      </c>
      <c r="O8" s="8">
        <f>(((Sinasefe!B17-'Matriz Atual'!C25)/'Matriz Atual'!C25)*'Matriz Atual'!C25)*(E24)</f>
        <v>5611709.7737534642</v>
      </c>
      <c r="P8" s="8">
        <f>(((Sinasefe!B25-'Matriz Atual'!C39)/'Matriz Atual'!C39)*'Matriz Atual'!C39)*(F38)</f>
        <v>1981023.3448624338</v>
      </c>
      <c r="R8" s="8">
        <f>B8*'Matriz Atual'!C9</f>
        <v>0</v>
      </c>
      <c r="S8" s="8">
        <f>C13*'Matriz Atual'!C14</f>
        <v>4405.6000000000004</v>
      </c>
      <c r="T8" s="8">
        <f>D18*'Matriz Atual'!C19</f>
        <v>2736536.94</v>
      </c>
      <c r="U8" s="8">
        <f>E24*'Matriz Atual'!C25</f>
        <v>13911571.32</v>
      </c>
      <c r="V8" s="8">
        <f>F38*'Matriz Atual'!C39</f>
        <v>17146744.98</v>
      </c>
    </row>
    <row r="9" spans="1:22">
      <c r="A9" s="20" t="s">
        <v>177</v>
      </c>
      <c r="B9" s="59">
        <v>0</v>
      </c>
      <c r="C9" s="59">
        <v>0</v>
      </c>
      <c r="D9" s="23">
        <v>0</v>
      </c>
      <c r="E9" s="23">
        <v>0</v>
      </c>
      <c r="F9" s="23">
        <v>0</v>
      </c>
      <c r="G9" s="20"/>
      <c r="I9" s="54" t="s">
        <v>94</v>
      </c>
      <c r="J9" s="24">
        <f>(Sinasefe!B10-'Matriz Atual'!C20)/'Matriz Atual'!C20</f>
        <v>0.30000095670704413</v>
      </c>
      <c r="K9" s="26">
        <v>8</v>
      </c>
      <c r="L9" s="55">
        <f>(((Sinasefe!B10-'Matriz Atual'!C10)/'Matriz Atual'!C10)*'Matriz Atual'!C10)*B9</f>
        <v>0</v>
      </c>
      <c r="M9" s="8">
        <f>(((Sinasefe!B10-'Matriz Atual'!C15)/'Matriz Atual'!C15)*'Matriz Atual'!C15)*(C14)</f>
        <v>7883.2119074741686</v>
      </c>
      <c r="N9" s="8">
        <f>(((Sinasefe!B10-'Matriz Atual'!C20)/'Matriz Atual'!C20)*'Matriz Atual'!C20)*(D19)</f>
        <v>1257860.7693347363</v>
      </c>
      <c r="O9" s="8">
        <f>(((Sinasefe!B18-'Matriz Atual'!C26)/'Matriz Atual'!C26)*'Matriz Atual'!C26)*(E25)</f>
        <v>7543407.3234014539</v>
      </c>
      <c r="P9" s="8">
        <f>(((Sinasefe!B26-'Matriz Atual'!C40)/'Matriz Atual'!C40)*'Matriz Atual'!C40)*(F39)</f>
        <v>2501451.8404711047</v>
      </c>
      <c r="R9" s="8">
        <f>B9*'Matriz Atual'!C10</f>
        <v>0</v>
      </c>
      <c r="S9" s="8">
        <f>C14*'Matriz Atual'!C15</f>
        <v>13732.32</v>
      </c>
      <c r="T9" s="8">
        <f>D19*'Matriz Atual'!C20</f>
        <v>4192855.86</v>
      </c>
      <c r="U9" s="8">
        <f>E25*'Matriz Atual'!C26</f>
        <v>18700459.559999999</v>
      </c>
      <c r="V9" s="8">
        <f>F39*'Matriz Atual'!C40</f>
        <v>21651368.599999998</v>
      </c>
    </row>
    <row r="10" spans="1:22">
      <c r="A10" s="20" t="s">
        <v>178</v>
      </c>
      <c r="B10" s="59">
        <v>1</v>
      </c>
      <c r="C10" s="59">
        <v>1</v>
      </c>
      <c r="D10" s="23">
        <v>0</v>
      </c>
      <c r="E10" s="23">
        <v>0</v>
      </c>
      <c r="F10" s="23">
        <v>0</v>
      </c>
      <c r="G10" s="20"/>
      <c r="I10" s="54" t="s">
        <v>95</v>
      </c>
      <c r="J10" s="24">
        <f>(Sinasefe!B11-'Matriz Atual'!C21)/'Matriz Atual'!C21</f>
        <v>0.3000043790810501</v>
      </c>
      <c r="K10" s="26">
        <v>9</v>
      </c>
      <c r="L10" s="55">
        <f>(((Sinasefe!B11-'Matriz Atual'!C11)/'Matriz Atual'!C11)*'Matriz Atual'!C11)*B10</f>
        <v>1779.1396086442767</v>
      </c>
      <c r="M10" s="8">
        <f>(((Sinasefe!B11-'Matriz Atual'!C16)/'Matriz Atual'!C16)*'Matriz Atual'!C16)*(C15)</f>
        <v>6825.5480432213835</v>
      </c>
      <c r="N10" s="8">
        <f>(((Sinasefe!B11-'Matriz Atual'!C21)/'Matriz Atual'!C21)*'Matriz Atual'!C21)*(D20)</f>
        <v>1543609.9006473226</v>
      </c>
      <c r="O10" s="8">
        <f>(((Sinasefe!B19-'Matriz Atual'!C27)/'Matriz Atual'!C27)*'Matriz Atual'!C27)*(E26)</f>
        <v>10882598.617861561</v>
      </c>
      <c r="P10" s="8">
        <f>(((Sinasefe!B27-'Matriz Atual'!C41)/'Matriz Atual'!C41)*'Matriz Atual'!C41)*(F40)</f>
        <v>3660817.8709120583</v>
      </c>
      <c r="R10" s="8">
        <f>B10*'Matriz Atual'!C11</f>
        <v>1963.95</v>
      </c>
      <c r="S10" s="8">
        <f>C15*'Matriz Atual'!C16</f>
        <v>11889.9</v>
      </c>
      <c r="T10" s="8">
        <f>D20*'Matriz Atual'!C21</f>
        <v>5145291.2299999995</v>
      </c>
      <c r="U10" s="8">
        <f>E26*'Matriz Atual'!C27</f>
        <v>26978592.48</v>
      </c>
      <c r="V10" s="8">
        <f>F40*'Matriz Atual'!C41</f>
        <v>31685888</v>
      </c>
    </row>
    <row r="11" spans="1:22">
      <c r="A11" s="20" t="s">
        <v>179</v>
      </c>
      <c r="B11" s="59">
        <v>4</v>
      </c>
      <c r="C11" s="59">
        <v>0</v>
      </c>
      <c r="D11" s="23">
        <v>0</v>
      </c>
      <c r="E11" s="23">
        <v>0</v>
      </c>
      <c r="F11" s="23">
        <v>0</v>
      </c>
      <c r="G11" s="20"/>
      <c r="I11" s="54" t="s">
        <v>96</v>
      </c>
      <c r="J11" s="24">
        <f>(Sinasefe!B12-'Matriz Atual'!C22)/'Matriz Atual'!C22</f>
        <v>0.30000538290181228</v>
      </c>
      <c r="K11" s="25">
        <v>10</v>
      </c>
      <c r="L11" s="55">
        <f>(((Sinasefe!B12-'Matriz Atual'!C12)/'Matriz Atual'!C12)*'Matriz Atual'!C12)*B11</f>
        <v>7394.0804135256139</v>
      </c>
      <c r="M11" s="8">
        <f>(((Sinasefe!B12-'Matriz Atual'!C17)/'Matriz Atual'!C17)*'Matriz Atual'!C17)*(C16)</f>
        <v>36877.362687916488</v>
      </c>
      <c r="N11" s="8">
        <f>(((Sinasefe!B12-'Matriz Atual'!C22)/'Matriz Atual'!C22)*'Matriz Atual'!C22)*(D21)</f>
        <v>1252896.1843204394</v>
      </c>
      <c r="O11" s="8">
        <f>(((Sinasefe!B20-'Matriz Atual'!C28)/'Matriz Atual'!C28)*'Matriz Atual'!C28)*(E27)</f>
        <v>8387704.1170108579</v>
      </c>
      <c r="P11" s="8">
        <f>(((Sinasefe!B28-'Matriz Atual'!C42)/'Matriz Atual'!C42)*'Matriz Atual'!C42)*(F41)</f>
        <v>3321443.2011040747</v>
      </c>
      <c r="R11" s="8">
        <f>B11*'Matriz Atual'!C12</f>
        <v>8162.2</v>
      </c>
      <c r="S11" s="8">
        <f>C16*'Matriz Atual'!C17</f>
        <v>64238.46</v>
      </c>
      <c r="T11" s="8">
        <f>D21*'Matriz Atual'!C22</f>
        <v>4176245.6799999997</v>
      </c>
      <c r="U11" s="8">
        <f>E27*'Matriz Atual'!C28</f>
        <v>20793448</v>
      </c>
      <c r="V11" s="8">
        <f>F41*'Matriz Atual'!C42</f>
        <v>28748574.710000001</v>
      </c>
    </row>
    <row r="12" spans="1:22">
      <c r="A12" s="22" t="s">
        <v>180</v>
      </c>
      <c r="B12" s="59">
        <v>2</v>
      </c>
      <c r="C12" s="59">
        <v>4</v>
      </c>
      <c r="D12" s="59">
        <v>152</v>
      </c>
      <c r="E12" s="23">
        <v>0</v>
      </c>
      <c r="F12" s="23">
        <v>0</v>
      </c>
      <c r="G12" s="20"/>
      <c r="I12" s="54" t="s">
        <v>97</v>
      </c>
      <c r="J12" s="24">
        <f>(Sinasefe!B13-'Matriz Atual'!C23)/'Matriz Atual'!C23</f>
        <v>0.30000606045629469</v>
      </c>
      <c r="K12" s="25">
        <v>11</v>
      </c>
      <c r="L12" s="55">
        <f>(((Sinasefe!B13-'Matriz Atual'!C13)/'Matriz Atual'!C13)*'Matriz Atual'!C13)*B12</f>
        <v>3841.2276748265558</v>
      </c>
      <c r="M12" s="8">
        <f>(((Sinasefe!B13-'Matriz Atual'!C18)/'Matriz Atual'!C18)*'Matriz Atual'!C18)*(C17)</f>
        <v>36841.595935331956</v>
      </c>
      <c r="N12" s="8">
        <f>(((Sinasefe!B13-'Matriz Atual'!C23)/'Matriz Atual'!C23)*'Matriz Atual'!C23)*(D22)</f>
        <v>929696.35590103816</v>
      </c>
      <c r="O12" s="8">
        <f>(((Sinasefe!B21-'Matriz Atual'!C29)/'Matriz Atual'!C29)*'Matriz Atual'!C29)*(E28)</f>
        <v>7733703.3885181351</v>
      </c>
      <c r="P12" s="8">
        <f>(((Sinasefe!B29-'Matriz Atual'!C43)/'Matriz Atual'!C43)*'Matriz Atual'!C43)*(F42)</f>
        <v>2671403.7208172949</v>
      </c>
      <c r="R12" s="8">
        <f>B12*'Matriz Atual'!C13</f>
        <v>4240.26</v>
      </c>
      <c r="S12" s="8">
        <f>C17*'Matriz Atual'!C18</f>
        <v>64177</v>
      </c>
      <c r="T12" s="8">
        <f>D22*'Matriz Atual'!C23</f>
        <v>3098925.25</v>
      </c>
      <c r="U12" s="8">
        <f>E28*'Matriz Atual'!C29</f>
        <v>19172200.900000002</v>
      </c>
      <c r="V12" s="8">
        <f>F42*'Matriz Atual'!C43</f>
        <v>23122179.579999998</v>
      </c>
    </row>
    <row r="13" spans="1:22">
      <c r="A13" s="20" t="s">
        <v>181</v>
      </c>
      <c r="B13" s="59">
        <v>6</v>
      </c>
      <c r="C13" s="59">
        <v>2</v>
      </c>
      <c r="D13" s="59">
        <v>18</v>
      </c>
      <c r="E13" s="23">
        <v>0</v>
      </c>
      <c r="F13" s="23">
        <v>0</v>
      </c>
      <c r="G13" s="20"/>
      <c r="I13" s="54" t="s">
        <v>98</v>
      </c>
      <c r="J13" s="24">
        <f>(Sinasefe!B14-'Matriz Atual'!C24)/'Matriz Atual'!C24</f>
        <v>0.30000676490953493</v>
      </c>
      <c r="K13" s="25">
        <v>12</v>
      </c>
      <c r="L13" s="55">
        <f>(((Sinasefe!B14-'Matriz Atual'!C14)/'Matriz Atual'!C14)*'Matriz Atual'!C14)*B13</f>
        <v>11973.197082434372</v>
      </c>
      <c r="M13" s="8">
        <f>(((Sinasefe!B14-'Matriz Atual'!C19)/'Matriz Atual'!C19)*'Matriz Atual'!C19)*(C18)</f>
        <v>68901.428118257798</v>
      </c>
      <c r="N13" s="8">
        <f>(((Sinasefe!B14-'Matriz Atual'!C24)/'Matriz Atual'!C24)*'Matriz Atual'!C24)*(D23)</f>
        <v>677235.13010360452</v>
      </c>
      <c r="O13" s="8">
        <f>(((Sinasefe!B22-'Matriz Atual'!C30)/'Matriz Atual'!C30)*'Matriz Atual'!C30)*(E29)</f>
        <v>8653176.0355838072</v>
      </c>
      <c r="P13" s="8">
        <f>(((Sinasefe!B30-'Matriz Atual'!C44)/'Matriz Atual'!C44)*'Matriz Atual'!C44)*(F43)</f>
        <v>4106795.3597807842</v>
      </c>
      <c r="R13" s="8">
        <f>B13*'Matriz Atual'!C14</f>
        <v>13216.800000000001</v>
      </c>
      <c r="S13" s="8">
        <f>C18*'Matriz Atual'!C19</f>
        <v>120023.55</v>
      </c>
      <c r="T13" s="8">
        <f>D23*'Matriz Atual'!C24</f>
        <v>2257399.5299999998</v>
      </c>
      <c r="U13" s="8">
        <f>E29*'Matriz Atual'!C30</f>
        <v>21451584</v>
      </c>
      <c r="V13" s="8">
        <f>F43*'Matriz Atual'!C44</f>
        <v>35546602.140000001</v>
      </c>
    </row>
    <row r="14" spans="1:22">
      <c r="A14" s="20" t="s">
        <v>182</v>
      </c>
      <c r="B14" s="59">
        <v>2</v>
      </c>
      <c r="C14" s="59">
        <v>6</v>
      </c>
      <c r="D14" s="59">
        <v>88</v>
      </c>
      <c r="E14" s="23">
        <v>0</v>
      </c>
      <c r="F14" s="23">
        <v>0</v>
      </c>
      <c r="G14" s="20"/>
      <c r="I14" s="54" t="s">
        <v>99</v>
      </c>
      <c r="J14" s="24">
        <f>(Sinasefe!B15-'Matriz Atual'!C25)/'Matriz Atual'!C25</f>
        <v>0.30000650532816131</v>
      </c>
      <c r="K14" s="26">
        <v>13</v>
      </c>
      <c r="L14" s="55">
        <f>(((Sinasefe!B15-'Matriz Atual'!C15)/'Matriz Atual'!C15)*'Matriz Atual'!C15)*B14</f>
        <v>4146.6956562164387</v>
      </c>
      <c r="M14" s="8">
        <f>(((Sinasefe!B15-'Matriz Atual'!C20)/'Matriz Atual'!C20)*'Matriz Atual'!C20)*(C19)</f>
        <v>15908.478281082193</v>
      </c>
      <c r="N14" s="8">
        <f>(((Sinasefe!B15-'Matriz Atual'!C25)/'Matriz Atual'!C25)*'Matriz Atual'!C25)*(D24)</f>
        <v>283874.68752651778</v>
      </c>
      <c r="O14" s="8">
        <f>(((Sinasefe!B23-'Matriz Atual'!C31)/'Matriz Atual'!C31)*'Matriz Atual'!C31)*(E30)</f>
        <v>6336058.5289415224</v>
      </c>
      <c r="P14" s="8">
        <f>(((Sinasefe!B31-'Matriz Atual'!C45)/'Matriz Atual'!C45)*'Matriz Atual'!C45)*(F44)</f>
        <v>3102116.1058991454</v>
      </c>
      <c r="R14" s="8">
        <f>B14*'Matriz Atual'!C15</f>
        <v>4577.4399999999996</v>
      </c>
      <c r="S14" s="8">
        <f>C19*'Matriz Atual'!C20</f>
        <v>27712.199999999997</v>
      </c>
      <c r="T14" s="8">
        <f>D24*'Matriz Atual'!C25</f>
        <v>946228.44000000006</v>
      </c>
      <c r="U14" s="8">
        <f>E30*'Matriz Atual'!C31</f>
        <v>15707234.039999999</v>
      </c>
      <c r="V14" s="8">
        <f>F44*'Matriz Atual'!C45</f>
        <v>26850462.150000002</v>
      </c>
    </row>
    <row r="15" spans="1:22">
      <c r="A15" s="20" t="s">
        <v>183</v>
      </c>
      <c r="B15" s="59">
        <v>6</v>
      </c>
      <c r="C15" s="59">
        <v>5</v>
      </c>
      <c r="D15" s="59">
        <v>89</v>
      </c>
      <c r="E15" s="23">
        <v>0</v>
      </c>
      <c r="F15" s="23">
        <v>0</v>
      </c>
      <c r="G15" s="20"/>
      <c r="I15" s="54" t="s">
        <v>100</v>
      </c>
      <c r="J15" s="24">
        <f>(Sinasefe!B16-'Matriz Atual'!C26)/'Matriz Atual'!C26</f>
        <v>0.30000329100689838</v>
      </c>
      <c r="K15" s="26">
        <v>14</v>
      </c>
      <c r="L15" s="55">
        <f>(((Sinasefe!B16-'Matriz Atual'!C16)/'Matriz Atual'!C16)*'Matriz Atual'!C16)*B15</f>
        <v>12925.250840426637</v>
      </c>
      <c r="M15" s="8">
        <f>(((Sinasefe!B16-'Matriz Atual'!C21)/'Matriz Atual'!C21)*'Matriz Atual'!C21)*(C20)</f>
        <v>14876.086260639957</v>
      </c>
      <c r="N15" s="8">
        <f>(((Sinasefe!B16-'Matriz Atual'!C26)/'Matriz Atual'!C26)*'Matriz Atual'!C26)*(D25)</f>
        <v>331549.81606920739</v>
      </c>
      <c r="O15" s="8">
        <f>(((Sinasefe!B24-'Matriz Atual'!C32)/'Matriz Atual'!C32)*'Matriz Atual'!C32)*(E31)</f>
        <v>2950993.4588952544</v>
      </c>
      <c r="P15" s="8">
        <f>(((Sinasefe!B32-'Matriz Atual'!C46)/'Matriz Atual'!C46)*'Matriz Atual'!C46)*(F45)</f>
        <v>1537547.3983114371</v>
      </c>
      <c r="R15" s="8">
        <f>B15*'Matriz Atual'!C16</f>
        <v>14267.880000000001</v>
      </c>
      <c r="S15" s="8">
        <f>C20*'Matriz Atual'!C21</f>
        <v>25913.61</v>
      </c>
      <c r="T15" s="8">
        <f>D25*'Matriz Atual'!C26</f>
        <v>1105153.93</v>
      </c>
      <c r="U15" s="8">
        <f>E31*'Matriz Atual'!C32</f>
        <v>7315647.8399999999</v>
      </c>
      <c r="V15" s="8">
        <f>F45*'Matriz Atual'!C46</f>
        <v>13308118.560000001</v>
      </c>
    </row>
    <row r="16" spans="1:22">
      <c r="A16" s="20" t="s">
        <v>184</v>
      </c>
      <c r="B16" s="59">
        <v>13</v>
      </c>
      <c r="C16" s="59">
        <v>26</v>
      </c>
      <c r="D16" s="59">
        <v>261</v>
      </c>
      <c r="E16" s="23">
        <v>0</v>
      </c>
      <c r="F16" s="23">
        <v>0</v>
      </c>
      <c r="G16" s="20"/>
      <c r="I16" s="54" t="s">
        <v>101</v>
      </c>
      <c r="J16" s="24">
        <f>(Sinasefe!B17-'Matriz Atual'!C27)/'Matriz Atual'!C27</f>
        <v>0.30000160779933316</v>
      </c>
      <c r="K16" s="26">
        <v>15</v>
      </c>
      <c r="L16" s="55">
        <f>(((Sinasefe!B17-'Matriz Atual'!C17)/'Matriz Atual'!C17)*'Matriz Atual'!C17)*B16</f>
        <v>29097.039710273766</v>
      </c>
      <c r="M16" s="8">
        <f>(((Sinasefe!B17-'Matriz Atual'!C22)/'Matriz Atual'!C22)*'Matriz Atual'!C22)*(C21)</f>
        <v>12021.546767070489</v>
      </c>
      <c r="N16" s="8">
        <f>(((Sinasefe!B17-'Matriz Atual'!C27)/'Matriz Atual'!C27)*'Matriz Atual'!C27)*(D26)</f>
        <v>541168.5442858719</v>
      </c>
      <c r="O16" s="8">
        <f>(((Sinasefe!B25-'Matriz Atual'!C33)/'Matriz Atual'!C33)*'Matriz Atual'!C33)*(E32)</f>
        <v>3042201.3042618944</v>
      </c>
      <c r="P16" s="8">
        <f>(((Sinasefe!B33-'Matriz Atual'!C47)/'Matriz Atual'!C47)*'Matriz Atual'!C47)*(F46)</f>
        <v>1467982.2822516174</v>
      </c>
      <c r="R16" s="8">
        <f>B16*'Matriz Atual'!C17</f>
        <v>32119.23</v>
      </c>
      <c r="S16" s="8">
        <f>C21*'Matriz Atual'!C22</f>
        <v>20941.059999999998</v>
      </c>
      <c r="T16" s="8">
        <f>D26*'Matriz Atual'!C27</f>
        <v>1803885.4800000002</v>
      </c>
      <c r="U16" s="8">
        <f>E32*'Matriz Atual'!C33</f>
        <v>7541702.6000000006</v>
      </c>
      <c r="V16" s="8">
        <f>F46*'Matriz Atual'!C47</f>
        <v>12706017.6</v>
      </c>
    </row>
    <row r="17" spans="1:22">
      <c r="A17" s="20" t="s">
        <v>185</v>
      </c>
      <c r="B17" s="59">
        <v>113</v>
      </c>
      <c r="C17" s="59">
        <v>25</v>
      </c>
      <c r="D17" s="59">
        <v>359</v>
      </c>
      <c r="E17" s="23">
        <v>0</v>
      </c>
      <c r="F17" s="23">
        <v>0</v>
      </c>
      <c r="G17" s="20"/>
      <c r="I17" s="54" t="s">
        <v>102</v>
      </c>
      <c r="J17" s="24">
        <f>(Sinasefe!B18-'Matriz Atual'!C28)/'Matriz Atual'!C28</f>
        <v>0.30000441953225543</v>
      </c>
      <c r="K17" s="26">
        <v>16</v>
      </c>
      <c r="L17" s="55">
        <f>(((Sinasefe!B18-'Matriz Atual'!C18)/'Matriz Atual'!C18)*'Matriz Atual'!C18)*B17</f>
        <v>262782.92752877786</v>
      </c>
      <c r="M17" s="8">
        <f>(((Sinasefe!B18-'Matriz Atual'!C23)/'Matriz Atual'!C23)*'Matriz Atual'!C23)*(C22)</f>
        <v>435379.60245152033</v>
      </c>
      <c r="N17" s="8">
        <f>(((Sinasefe!B18-'Matriz Atual'!C28)/'Matriz Atual'!C28)*'Matriz Atual'!C28)*(D27)</f>
        <v>1922810.6939956518</v>
      </c>
      <c r="O17" s="8">
        <f>(((Sinasefe!B26-'Matriz Atual'!C34)/'Matriz Atual'!C34)*'Matriz Atual'!C34)*(E33)</f>
        <v>5273171.2670538416</v>
      </c>
      <c r="P17" s="8">
        <f>(((Sinasefe!B34-'Matriz Atual'!C48)/'Matriz Atual'!C48)*'Matriz Atual'!C48)*(F47)</f>
        <v>2064455.9768074045</v>
      </c>
      <c r="R17" s="8">
        <f>B17*'Matriz Atual'!C18</f>
        <v>290080.03999999998</v>
      </c>
      <c r="S17" s="8">
        <f>C22*'Matriz Atual'!C23</f>
        <v>758413</v>
      </c>
      <c r="T17" s="8">
        <f>D27*'Matriz Atual'!C28</f>
        <v>6409274.5599999996</v>
      </c>
      <c r="U17" s="8">
        <f>E33*'Matriz Atual'!C34</f>
        <v>13072341.040000001</v>
      </c>
      <c r="V17" s="8">
        <f>F47*'Matriz Atual'!C48</f>
        <v>17869042.800000001</v>
      </c>
    </row>
    <row r="18" spans="1:22">
      <c r="A18" s="22" t="s">
        <v>186</v>
      </c>
      <c r="B18" s="59">
        <v>99</v>
      </c>
      <c r="C18" s="59">
        <v>45</v>
      </c>
      <c r="D18" s="59">
        <v>1026</v>
      </c>
      <c r="E18" s="59">
        <v>3609</v>
      </c>
      <c r="F18" s="23">
        <v>0</v>
      </c>
      <c r="G18" s="20"/>
      <c r="I18" s="54" t="s">
        <v>103</v>
      </c>
      <c r="J18" s="24">
        <f>(Sinasefe!B19-'Matriz Atual'!C29)/'Matriz Atual'!C29</f>
        <v>0.30000351525073704</v>
      </c>
      <c r="K18" s="26">
        <v>17</v>
      </c>
      <c r="L18" s="55">
        <f>(((Sinasefe!B19-'Matriz Atual'!C19)/'Matriz Atual'!C19)*'Matriz Atual'!C19)*B18</f>
        <v>239205.16082281078</v>
      </c>
      <c r="M18" s="8">
        <f>(((Sinasefe!B19-'Matriz Atual'!C24)/'Matriz Atual'!C24)*'Matriz Atual'!C24)*(C23)</f>
        <v>372640.68288267642</v>
      </c>
      <c r="N18" s="8">
        <f>(((Sinasefe!B19-'Matriz Atual'!C29)/'Matriz Atual'!C29)*'Matriz Atual'!C29)*(D28)</f>
        <v>899770.57294036215</v>
      </c>
      <c r="O18" s="8">
        <f>(((Sinasefe!B27-'Matriz Atual'!C35)/'Matriz Atual'!C35)*'Matriz Atual'!C35)*(E34)</f>
        <v>2097461.6393660242</v>
      </c>
      <c r="P18" s="8">
        <f>(((Sinasefe!B35-'Matriz Atual'!C49)/'Matriz Atual'!C49)*'Matriz Atual'!C49)*(F48)</f>
        <v>800122.72524254513</v>
      </c>
      <c r="R18" s="8">
        <f>B18*'Matriz Atual'!C19</f>
        <v>264051.81</v>
      </c>
      <c r="S18" s="8">
        <f>C23*'Matriz Atual'!C24</f>
        <v>649123.47</v>
      </c>
      <c r="T18" s="8">
        <f>D28*'Matriz Atual'!C29</f>
        <v>2999200.1</v>
      </c>
      <c r="U18" s="8">
        <f>E34*'Matriz Atual'!C35</f>
        <v>5199700.1000000006</v>
      </c>
      <c r="V18" s="8">
        <f>F48*'Matriz Atual'!C49</f>
        <v>6925448.0800000001</v>
      </c>
    </row>
    <row r="19" spans="1:22">
      <c r="A19" s="20" t="s">
        <v>187</v>
      </c>
      <c r="B19" s="59">
        <v>115</v>
      </c>
      <c r="C19" s="59">
        <v>10</v>
      </c>
      <c r="D19" s="59">
        <v>1513</v>
      </c>
      <c r="E19" s="59">
        <v>289</v>
      </c>
      <c r="F19" s="23">
        <v>0</v>
      </c>
      <c r="G19" s="20"/>
      <c r="I19" s="54" t="s">
        <v>104</v>
      </c>
      <c r="J19" s="24">
        <f>(Sinasefe!B20-'Matriz Atual'!C30)/'Matriz Atual'!C30</f>
        <v>0.30000405921203871</v>
      </c>
      <c r="K19" s="26">
        <v>18</v>
      </c>
      <c r="L19" s="55">
        <f>(((Sinasefe!B20-'Matriz Atual'!C20)/'Matriz Atual'!C20)*'Matriz Atual'!C20)*B19</f>
        <v>288700.19655316719</v>
      </c>
      <c r="M19" s="8">
        <f>(((Sinasefe!B20-'Matriz Atual'!C25)/'Matriz Atual'!C25)*'Matriz Atual'!C25)*(C24)</f>
        <v>547051.16366173443</v>
      </c>
      <c r="N19" s="8">
        <f>(((Sinasefe!B20-'Matriz Atual'!C30)/'Matriz Atual'!C30)*'Matriz Atual'!C30)*(D29)</f>
        <v>841010.97931900283</v>
      </c>
      <c r="O19" s="8">
        <f>(((Sinasefe!B28-'Matriz Atual'!C36)/'Matriz Atual'!C36)*'Matriz Atual'!C36)*(E35)</f>
        <v>1886497.5685328182</v>
      </c>
      <c r="P19" s="8">
        <f>(((Sinasefe!B36-'Matriz Atual'!C50)/'Matriz Atual'!C50)*'Matriz Atual'!C50)*(F49)</f>
        <v>509491.8442436129</v>
      </c>
      <c r="R19" s="8">
        <f>B19*'Matriz Atual'!C20</f>
        <v>318690.3</v>
      </c>
      <c r="S19" s="8">
        <f>C24*'Matriz Atual'!C25</f>
        <v>952939.28</v>
      </c>
      <c r="T19" s="8">
        <f>D29*'Matriz Atual'!C30</f>
        <v>2803332</v>
      </c>
      <c r="U19" s="8">
        <f>E35*'Matriz Atual'!C36</f>
        <v>4676702.25</v>
      </c>
      <c r="V19" s="8">
        <f>F49*'Matriz Atual'!C50</f>
        <v>4409887.25</v>
      </c>
    </row>
    <row r="20" spans="1:22">
      <c r="A20" s="20" t="s">
        <v>188</v>
      </c>
      <c r="B20" s="59">
        <v>1173</v>
      </c>
      <c r="C20" s="59">
        <v>9</v>
      </c>
      <c r="D20" s="59">
        <v>1787</v>
      </c>
      <c r="E20" s="59">
        <v>1742</v>
      </c>
      <c r="F20" s="23">
        <v>0</v>
      </c>
      <c r="G20" s="23">
        <v>2279</v>
      </c>
      <c r="I20" s="54" t="s">
        <v>105</v>
      </c>
      <c r="J20" s="24">
        <f>(Sinasefe!B21-'Matriz Atual'!C31)/'Matriz Atual'!C31</f>
        <v>0.30000689251157753</v>
      </c>
      <c r="K20" s="25">
        <v>19</v>
      </c>
      <c r="L20" s="55">
        <f>(((Sinasefe!B21-'Matriz Atual'!C21)/'Matriz Atual'!C21)*'Matriz Atual'!C21)*(B20+G20)</f>
        <v>9004027.9797521122</v>
      </c>
      <c r="M20" s="8">
        <f>(((Sinasefe!B21-'Matriz Atual'!C26)/'Matriz Atual'!C26)*'Matriz Atual'!C26)*(C25+G25)</f>
        <v>15714608.797512626</v>
      </c>
      <c r="N20" s="8">
        <f>(((Sinasefe!B21-'Matriz Atual'!C31)/'Matriz Atual'!C31)*'Matriz Atual'!C31)*(D30+G30)</f>
        <v>26341142.774867885</v>
      </c>
      <c r="O20" s="8">
        <f>(((Sinasefe!B29-'Matriz Atual'!C37)/'Matriz Atual'!C37)*'Matriz Atual'!C37)*(E36+G36)</f>
        <v>73366800.838188827</v>
      </c>
      <c r="P20" s="8">
        <f>(((Sinasefe!B37-'Matriz Atual'!C51)/'Matriz Atual'!C51)*'Matriz Atual'!C51)*(F50+G50)</f>
        <v>23311746.778974604</v>
      </c>
      <c r="R20" s="8">
        <f>(B20+G20)*'Matriz Atual'!C21</f>
        <v>9939309.0800000001</v>
      </c>
      <c r="S20" s="8">
        <f>(C25+G25)*'Matriz Atual'!C26</f>
        <v>27374349.079999998</v>
      </c>
      <c r="T20" s="8">
        <f>(D30+G30)*'Matriz Atual'!C31</f>
        <v>87801792</v>
      </c>
      <c r="U20" s="8">
        <f>(E36+G36)*'Matriz Atual'!C37</f>
        <v>181878629.51999998</v>
      </c>
      <c r="V20" s="8">
        <f>(F50+G50)*'Matriz Atual'!C51</f>
        <v>201774891.78</v>
      </c>
    </row>
    <row r="21" spans="1:22" ht="15.75" customHeight="1">
      <c r="A21" s="20" t="s">
        <v>189</v>
      </c>
      <c r="B21" s="23">
        <v>0</v>
      </c>
      <c r="C21" s="59">
        <v>7</v>
      </c>
      <c r="D21" s="59">
        <v>1396</v>
      </c>
      <c r="E21" s="59">
        <v>767</v>
      </c>
      <c r="F21" s="23">
        <v>0</v>
      </c>
      <c r="G21" s="20"/>
      <c r="I21" s="54" t="s">
        <v>106</v>
      </c>
      <c r="J21" s="24">
        <f>(Sinasefe!B22-'Matriz Atual'!C32)/'Matriz Atual'!C32</f>
        <v>0.30000344233048976</v>
      </c>
      <c r="K21" s="21" t="s">
        <v>50</v>
      </c>
      <c r="L21" s="8">
        <f t="shared" ref="L21:P21" si="0">SUM(L2:L20)</f>
        <v>9865872.8956432156</v>
      </c>
      <c r="M21" s="8">
        <f t="shared" si="0"/>
        <v>17280429.138847314</v>
      </c>
      <c r="N21" s="8">
        <f t="shared" si="0"/>
        <v>38346030.246073164</v>
      </c>
      <c r="O21" s="8">
        <f t="shared" si="0"/>
        <v>156581113.26587069</v>
      </c>
      <c r="P21" s="8">
        <f t="shared" si="0"/>
        <v>55380792.709202893</v>
      </c>
      <c r="R21" s="8">
        <f t="shared" ref="R21:V21" si="1">SUM(R2:R20)</f>
        <v>10890678.99</v>
      </c>
      <c r="S21" s="8">
        <f t="shared" si="1"/>
        <v>30101941.559999999</v>
      </c>
      <c r="T21" s="8">
        <f t="shared" si="1"/>
        <v>127817515.77000001</v>
      </c>
      <c r="U21" s="8">
        <f t="shared" si="1"/>
        <v>388170167.24000001</v>
      </c>
      <c r="V21" s="8">
        <f t="shared" si="1"/>
        <v>479347858.50999999</v>
      </c>
    </row>
    <row r="22" spans="1:22" ht="15.75" customHeight="1">
      <c r="A22" s="20" t="s">
        <v>190</v>
      </c>
      <c r="B22" s="23">
        <v>0</v>
      </c>
      <c r="C22" s="59">
        <v>244</v>
      </c>
      <c r="D22" s="59">
        <v>997</v>
      </c>
      <c r="E22" s="59">
        <v>3000</v>
      </c>
      <c r="F22" s="23">
        <v>0</v>
      </c>
      <c r="G22" s="20"/>
      <c r="I22" s="54" t="s">
        <v>107</v>
      </c>
      <c r="J22" s="24">
        <f>(Sinasefe!B23-'Matriz Atual'!C33)/'Matriz Atual'!C33</f>
        <v>0.30000610115093918</v>
      </c>
      <c r="L22" s="24">
        <f t="shared" ref="L22:P22" si="2">L21/SUM($L$21:$P$21)</f>
        <v>3.5558558981366582E-2</v>
      </c>
      <c r="M22" s="24">
        <f t="shared" si="2"/>
        <v>6.2282087480407096E-2</v>
      </c>
      <c r="N22" s="24">
        <f t="shared" si="2"/>
        <v>0.13820668405411915</v>
      </c>
      <c r="O22" s="24">
        <f t="shared" si="2"/>
        <v>0.56434932928147219</v>
      </c>
      <c r="P22" s="24">
        <f t="shared" si="2"/>
        <v>0.19960334020263493</v>
      </c>
      <c r="R22" s="18">
        <f t="shared" ref="R22:V22" si="3">R21/SUM($R$21:$V$21)</f>
        <v>1.0508909618210662E-2</v>
      </c>
      <c r="S22" s="18">
        <f t="shared" si="3"/>
        <v>2.9046727341533664E-2</v>
      </c>
      <c r="T22" s="18">
        <f t="shared" si="3"/>
        <v>0.12333691242616876</v>
      </c>
      <c r="U22" s="18">
        <f t="shared" si="3"/>
        <v>0.37456298250609599</v>
      </c>
      <c r="V22" s="18">
        <f t="shared" si="3"/>
        <v>0.46254446810799099</v>
      </c>
    </row>
    <row r="23" spans="1:22" ht="15.75" customHeight="1">
      <c r="A23" s="20" t="s">
        <v>191</v>
      </c>
      <c r="B23" s="23">
        <v>0</v>
      </c>
      <c r="C23" s="59">
        <v>201</v>
      </c>
      <c r="D23" s="59">
        <v>699</v>
      </c>
      <c r="E23" s="59">
        <v>1458</v>
      </c>
      <c r="F23" s="23">
        <v>0</v>
      </c>
      <c r="G23" s="20"/>
      <c r="I23" s="54" t="s">
        <v>108</v>
      </c>
      <c r="J23" s="24">
        <f>(Sinasefe!B24-'Matriz Atual'!C34)/'Matriz Atual'!C34</f>
        <v>0.30000606820213366</v>
      </c>
      <c r="R23" s="78" t="s">
        <v>53</v>
      </c>
      <c r="S23" s="72"/>
      <c r="T23" s="72"/>
      <c r="U23" s="72"/>
      <c r="V23" s="72"/>
    </row>
    <row r="24" spans="1:22" ht="15.75" customHeight="1">
      <c r="A24" s="20" t="s">
        <v>192</v>
      </c>
      <c r="B24" s="23">
        <v>0</v>
      </c>
      <c r="C24" s="59">
        <v>284</v>
      </c>
      <c r="D24" s="59">
        <v>282</v>
      </c>
      <c r="E24" s="59">
        <v>4146</v>
      </c>
      <c r="F24" s="23">
        <v>0</v>
      </c>
      <c r="G24" s="20"/>
      <c r="I24" s="54" t="s">
        <v>109</v>
      </c>
      <c r="J24" s="24">
        <f>(Sinasefe!B25-'Matriz Atual'!C35)/'Matriz Atual'!C35</f>
        <v>0.30000367923320387</v>
      </c>
      <c r="L24" s="19" t="s">
        <v>55</v>
      </c>
    </row>
    <row r="25" spans="1:22" ht="15.75" customHeight="1">
      <c r="A25" s="20" t="s">
        <v>193</v>
      </c>
      <c r="B25" s="23">
        <v>0</v>
      </c>
      <c r="C25" s="59">
        <v>2104</v>
      </c>
      <c r="D25" s="59">
        <v>317</v>
      </c>
      <c r="E25" s="59">
        <v>5364</v>
      </c>
      <c r="F25" s="23">
        <v>0</v>
      </c>
      <c r="G25" s="23">
        <v>5748</v>
      </c>
      <c r="I25" s="54" t="s">
        <v>110</v>
      </c>
      <c r="J25" s="24">
        <f>(Sinasefe!B26-'Matriz Atual'!C36)/'Matriz Atual'!C36</f>
        <v>0.30000436596905294</v>
      </c>
      <c r="L25" s="24">
        <f t="shared" ref="L25:P25" si="4">L21/R21</f>
        <v>0.90590062425880169</v>
      </c>
      <c r="M25" s="24">
        <f t="shared" si="4"/>
        <v>0.57406360664156819</v>
      </c>
      <c r="N25" s="24">
        <f t="shared" si="4"/>
        <v>0.30000606736149182</v>
      </c>
      <c r="O25" s="24">
        <f t="shared" si="4"/>
        <v>0.40338265657870315</v>
      </c>
      <c r="P25" s="24">
        <f t="shared" si="4"/>
        <v>0.11553361869884636</v>
      </c>
    </row>
    <row r="26" spans="1:22" ht="15.75" customHeight="1">
      <c r="A26" s="20" t="s">
        <v>194</v>
      </c>
      <c r="B26" s="23">
        <v>0</v>
      </c>
      <c r="C26" s="23">
        <v>0</v>
      </c>
      <c r="D26" s="59">
        <v>498</v>
      </c>
      <c r="E26" s="59">
        <v>7448</v>
      </c>
      <c r="F26" s="23">
        <v>0</v>
      </c>
      <c r="G26" s="20"/>
      <c r="I26" s="54" t="s">
        <v>111</v>
      </c>
      <c r="J26" s="24">
        <f>(Sinasefe!B27-'Matriz Atual'!C37)/'Matriz Atual'!C37</f>
        <v>0.30000555324801365</v>
      </c>
    </row>
    <row r="27" spans="1:22" ht="15.75" customHeight="1">
      <c r="A27" s="20" t="s">
        <v>195</v>
      </c>
      <c r="B27" s="23">
        <v>0</v>
      </c>
      <c r="C27" s="23">
        <v>0</v>
      </c>
      <c r="D27" s="59">
        <v>1703</v>
      </c>
      <c r="E27" s="59">
        <v>5525</v>
      </c>
      <c r="F27" s="23">
        <v>0</v>
      </c>
      <c r="G27" s="20"/>
      <c r="I27" s="54" t="s">
        <v>112</v>
      </c>
      <c r="J27" s="24">
        <f>(Sinasefe!B28-'Matriz Atual'!C38)/'Matriz Atual'!C38</f>
        <v>0.3000052516657814</v>
      </c>
    </row>
    <row r="28" spans="1:22" ht="15.75" customHeight="1">
      <c r="A28" s="20" t="s">
        <v>196</v>
      </c>
      <c r="B28" s="23">
        <v>0</v>
      </c>
      <c r="C28" s="23">
        <v>0</v>
      </c>
      <c r="D28" s="59">
        <v>767</v>
      </c>
      <c r="E28" s="59">
        <v>4903</v>
      </c>
      <c r="F28" s="23">
        <v>0</v>
      </c>
      <c r="G28" s="20"/>
      <c r="I28" s="54" t="s">
        <v>113</v>
      </c>
      <c r="J28" s="24">
        <f>(Sinasefe!B29-'Matriz Atual'!C39)/'Matriz Atual'!C39</f>
        <v>0.30000434686550059</v>
      </c>
    </row>
    <row r="29" spans="1:22" ht="15.75" customHeight="1">
      <c r="A29" s="20" t="s">
        <v>197</v>
      </c>
      <c r="B29" s="23">
        <v>0</v>
      </c>
      <c r="C29" s="23">
        <v>0</v>
      </c>
      <c r="D29" s="59">
        <v>690</v>
      </c>
      <c r="E29" s="59">
        <v>5280</v>
      </c>
      <c r="F29" s="23">
        <v>0</v>
      </c>
      <c r="G29" s="20"/>
      <c r="I29" s="54" t="s">
        <v>114</v>
      </c>
      <c r="J29" s="24">
        <f>(Sinasefe!B30-'Matriz Atual'!C40)/'Matriz Atual'!C40</f>
        <v>0.3000040020228672</v>
      </c>
    </row>
    <row r="30" spans="1:22" ht="15.75" customHeight="1">
      <c r="A30" s="20" t="s">
        <v>198</v>
      </c>
      <c r="B30" s="23">
        <v>0</v>
      </c>
      <c r="C30" s="23">
        <v>0</v>
      </c>
      <c r="D30" s="59">
        <v>5315</v>
      </c>
      <c r="E30" s="59">
        <v>3721</v>
      </c>
      <c r="F30" s="23">
        <v>0</v>
      </c>
      <c r="G30" s="23">
        <v>15485</v>
      </c>
      <c r="I30" s="54" t="s">
        <v>115</v>
      </c>
      <c r="J30" s="24">
        <f>(Sinasefe!B31-'Matriz Atual'!C41)/'Matriz Atual'!C41</f>
        <v>0.30000569092629137</v>
      </c>
    </row>
    <row r="31" spans="1:22" ht="15.75" customHeight="1">
      <c r="A31" s="20" t="s">
        <v>199</v>
      </c>
      <c r="B31" s="23">
        <v>0</v>
      </c>
      <c r="C31" s="23">
        <v>0</v>
      </c>
      <c r="D31" s="23">
        <v>0</v>
      </c>
      <c r="E31" s="59">
        <v>1668</v>
      </c>
      <c r="F31" s="23">
        <v>0</v>
      </c>
      <c r="G31" s="20"/>
      <c r="I31" s="54" t="s">
        <v>116</v>
      </c>
      <c r="J31" s="24">
        <f>(Sinasefe!B32-'Matriz Atual'!C42)/'Matriz Atual'!C42</f>
        <v>0.30000515515495019</v>
      </c>
    </row>
    <row r="32" spans="1:22" ht="15.75" customHeight="1">
      <c r="A32" s="22" t="s">
        <v>200</v>
      </c>
      <c r="B32" s="23">
        <v>0</v>
      </c>
      <c r="C32" s="23">
        <v>0</v>
      </c>
      <c r="D32" s="23">
        <v>0</v>
      </c>
      <c r="E32" s="59">
        <v>1655</v>
      </c>
      <c r="F32" s="59">
        <v>2214</v>
      </c>
      <c r="G32" s="20"/>
      <c r="I32" s="54" t="s">
        <v>117</v>
      </c>
      <c r="J32" s="24">
        <f>(Sinasefe!B33-'Matriz Atual'!C43)/'Matriz Atual'!C43</f>
        <v>0.30000523104459348</v>
      </c>
    </row>
    <row r="33" spans="1:10" ht="15.75" customHeight="1">
      <c r="A33" s="20" t="s">
        <v>201</v>
      </c>
      <c r="B33" s="23">
        <v>0</v>
      </c>
      <c r="C33" s="23">
        <v>0</v>
      </c>
      <c r="D33" s="23">
        <v>0</v>
      </c>
      <c r="E33" s="59">
        <v>2761</v>
      </c>
      <c r="F33" s="59">
        <v>259</v>
      </c>
      <c r="G33" s="20"/>
      <c r="I33" s="54" t="s">
        <v>118</v>
      </c>
      <c r="J33" s="24">
        <f>(Sinasefe!B34-'Matriz Atual'!C44)/'Matriz Atual'!C44</f>
        <v>0.30000343685930453</v>
      </c>
    </row>
    <row r="34" spans="1:10" ht="15.75" customHeight="1">
      <c r="A34" s="20" t="s">
        <v>202</v>
      </c>
      <c r="B34" s="23">
        <v>0</v>
      </c>
      <c r="C34" s="23">
        <v>0</v>
      </c>
      <c r="D34" s="23">
        <v>0</v>
      </c>
      <c r="E34" s="59">
        <v>1057</v>
      </c>
      <c r="F34" s="59">
        <v>1082</v>
      </c>
      <c r="G34" s="20"/>
      <c r="I34" s="54" t="s">
        <v>119</v>
      </c>
      <c r="J34" s="24">
        <f>(Sinasefe!B35-'Matriz Atual'!C45)/'Matriz Atual'!C45</f>
        <v>0.30000384423415172</v>
      </c>
    </row>
    <row r="35" spans="1:10" ht="15.75" customHeight="1">
      <c r="A35" s="20" t="s">
        <v>203</v>
      </c>
      <c r="B35" s="23">
        <v>0</v>
      </c>
      <c r="C35" s="23">
        <v>0</v>
      </c>
      <c r="D35" s="23">
        <v>0</v>
      </c>
      <c r="E35" s="59">
        <v>915</v>
      </c>
      <c r="F35" s="59">
        <v>633</v>
      </c>
      <c r="G35" s="20"/>
      <c r="I35" s="54" t="s">
        <v>120</v>
      </c>
      <c r="J35" s="24">
        <f>(Sinasefe!B36-'Matriz Atual'!C46)/'Matriz Atual'!C46</f>
        <v>0.30000557044569909</v>
      </c>
    </row>
    <row r="36" spans="1:10" ht="15.75" customHeight="1">
      <c r="A36" s="20" t="s">
        <v>204</v>
      </c>
      <c r="B36" s="23">
        <v>0</v>
      </c>
      <c r="C36" s="23">
        <v>0</v>
      </c>
      <c r="D36" s="23">
        <v>0</v>
      </c>
      <c r="E36" s="59">
        <v>8119</v>
      </c>
      <c r="F36" s="59">
        <v>2205</v>
      </c>
      <c r="G36" s="23">
        <v>26130</v>
      </c>
      <c r="I36" s="54" t="s">
        <v>121</v>
      </c>
      <c r="J36" s="24">
        <f>(Sinasefe!B37-'Matriz Atual'!C47)/'Matriz Atual'!C47</f>
        <v>0.30000541849688767</v>
      </c>
    </row>
    <row r="37" spans="1:10" ht="15.75" customHeight="1">
      <c r="A37" s="20" t="s">
        <v>205</v>
      </c>
      <c r="B37" s="23">
        <v>0</v>
      </c>
      <c r="C37" s="23">
        <v>0</v>
      </c>
      <c r="D37" s="23">
        <v>0</v>
      </c>
      <c r="E37" s="23">
        <v>0</v>
      </c>
      <c r="F37" s="59">
        <v>1091</v>
      </c>
      <c r="G37" s="20"/>
      <c r="I37" s="54" t="s">
        <v>122</v>
      </c>
      <c r="J37" s="24">
        <f>(Sinasefe!B38-'Matriz Atual'!C48)/'Matriz Atual'!C48</f>
        <v>0.30000324089299363</v>
      </c>
    </row>
    <row r="38" spans="1:10" ht="15.75" customHeight="1">
      <c r="A38" s="20" t="s">
        <v>206</v>
      </c>
      <c r="B38" s="23">
        <v>0</v>
      </c>
      <c r="C38" s="23">
        <v>0</v>
      </c>
      <c r="D38" s="23">
        <v>0</v>
      </c>
      <c r="E38" s="23">
        <v>0</v>
      </c>
      <c r="F38" s="59">
        <v>2991</v>
      </c>
      <c r="G38" s="20"/>
    </row>
    <row r="39" spans="1:10" ht="15.75" customHeight="1">
      <c r="A39" s="20" t="s">
        <v>207</v>
      </c>
      <c r="B39" s="23">
        <v>0</v>
      </c>
      <c r="C39" s="23">
        <v>0</v>
      </c>
      <c r="D39" s="23">
        <v>0</v>
      </c>
      <c r="E39" s="23">
        <v>0</v>
      </c>
      <c r="F39" s="59">
        <v>3635</v>
      </c>
      <c r="G39" s="20"/>
    </row>
    <row r="40" spans="1:10" ht="15.75" customHeight="1">
      <c r="A40" s="20" t="s">
        <v>208</v>
      </c>
      <c r="B40" s="23">
        <v>0</v>
      </c>
      <c r="C40" s="23">
        <v>0</v>
      </c>
      <c r="D40" s="23">
        <v>0</v>
      </c>
      <c r="E40" s="23">
        <v>0</v>
      </c>
      <c r="F40" s="59">
        <v>5120</v>
      </c>
      <c r="G40" s="20"/>
    </row>
    <row r="41" spans="1:10" ht="15.75" customHeight="1">
      <c r="A41" s="20" t="s">
        <v>209</v>
      </c>
      <c r="B41" s="23">
        <v>0</v>
      </c>
      <c r="C41" s="23">
        <v>0</v>
      </c>
      <c r="D41" s="23">
        <v>0</v>
      </c>
      <c r="E41" s="23">
        <v>0</v>
      </c>
      <c r="F41" s="59">
        <v>4471</v>
      </c>
      <c r="G41" s="20"/>
    </row>
    <row r="42" spans="1:10" ht="15.75" customHeight="1">
      <c r="A42" s="20" t="s">
        <v>210</v>
      </c>
      <c r="B42" s="23">
        <v>0</v>
      </c>
      <c r="C42" s="23">
        <v>0</v>
      </c>
      <c r="D42" s="23">
        <v>0</v>
      </c>
      <c r="E42" s="23">
        <v>0</v>
      </c>
      <c r="F42" s="59">
        <v>3461</v>
      </c>
      <c r="G42" s="20"/>
    </row>
    <row r="43" spans="1:10" ht="15.75" customHeight="1">
      <c r="A43" s="20" t="s">
        <v>211</v>
      </c>
      <c r="B43" s="23">
        <v>0</v>
      </c>
      <c r="C43" s="23">
        <v>0</v>
      </c>
      <c r="D43" s="23">
        <v>0</v>
      </c>
      <c r="E43" s="23">
        <v>0</v>
      </c>
      <c r="F43" s="59">
        <v>5121</v>
      </c>
      <c r="G43" s="20"/>
    </row>
    <row r="44" spans="1:10" ht="15.75" customHeight="1">
      <c r="A44" s="20" t="s">
        <v>212</v>
      </c>
      <c r="B44" s="23">
        <v>0</v>
      </c>
      <c r="C44" s="23">
        <v>0</v>
      </c>
      <c r="D44" s="23">
        <v>0</v>
      </c>
      <c r="E44" s="23">
        <v>0</v>
      </c>
      <c r="F44" s="59">
        <v>3723</v>
      </c>
      <c r="G44" s="20"/>
    </row>
    <row r="45" spans="1:10" ht="15.75" customHeight="1">
      <c r="A45" s="20" t="s">
        <v>213</v>
      </c>
      <c r="B45" s="23">
        <v>0</v>
      </c>
      <c r="C45" s="23">
        <v>0</v>
      </c>
      <c r="D45" s="23">
        <v>0</v>
      </c>
      <c r="E45" s="23">
        <v>0</v>
      </c>
      <c r="F45" s="59">
        <v>1776</v>
      </c>
      <c r="G45" s="20"/>
    </row>
    <row r="46" spans="1:10" ht="15.75" customHeight="1">
      <c r="A46" s="20" t="s">
        <v>214</v>
      </c>
      <c r="B46" s="23">
        <v>0</v>
      </c>
      <c r="C46" s="23">
        <v>0</v>
      </c>
      <c r="D46" s="23">
        <v>0</v>
      </c>
      <c r="E46" s="23">
        <v>0</v>
      </c>
      <c r="F46" s="59">
        <v>1632</v>
      </c>
      <c r="G46" s="20"/>
    </row>
    <row r="47" spans="1:10" ht="15.75" customHeight="1">
      <c r="A47" s="20" t="s">
        <v>215</v>
      </c>
      <c r="B47" s="23">
        <v>0</v>
      </c>
      <c r="C47" s="23">
        <v>0</v>
      </c>
      <c r="D47" s="23">
        <v>0</v>
      </c>
      <c r="E47" s="23">
        <v>0</v>
      </c>
      <c r="F47" s="59">
        <v>2209</v>
      </c>
      <c r="G47" s="20"/>
    </row>
    <row r="48" spans="1:10" ht="15.75" customHeight="1">
      <c r="A48" s="20" t="s">
        <v>216</v>
      </c>
      <c r="B48" s="23">
        <v>0</v>
      </c>
      <c r="C48" s="23">
        <v>0</v>
      </c>
      <c r="D48" s="23">
        <v>0</v>
      </c>
      <c r="E48" s="23">
        <v>0</v>
      </c>
      <c r="F48" s="59">
        <v>824</v>
      </c>
      <c r="G48" s="20"/>
    </row>
    <row r="49" spans="1:7" ht="15.75" customHeight="1">
      <c r="A49" s="20" t="s">
        <v>217</v>
      </c>
      <c r="B49" s="23">
        <v>0</v>
      </c>
      <c r="C49" s="23">
        <v>0</v>
      </c>
      <c r="D49" s="23">
        <v>0</v>
      </c>
      <c r="E49" s="23">
        <v>0</v>
      </c>
      <c r="F49" s="59">
        <v>505</v>
      </c>
      <c r="G49" s="20"/>
    </row>
    <row r="50" spans="1:7" ht="15.75" customHeight="1">
      <c r="A50" s="20" t="s">
        <v>218</v>
      </c>
      <c r="B50" s="23">
        <v>0</v>
      </c>
      <c r="C50" s="23">
        <v>0</v>
      </c>
      <c r="D50" s="23">
        <v>0</v>
      </c>
      <c r="E50" s="23">
        <v>0</v>
      </c>
      <c r="F50" s="59">
        <v>3601</v>
      </c>
      <c r="G50" s="23">
        <v>18638</v>
      </c>
    </row>
    <row r="51" spans="1:7" ht="15.75" customHeight="1">
      <c r="A51" s="20" t="s">
        <v>219</v>
      </c>
      <c r="B51" s="23">
        <f t="shared" ref="B51:G51" si="5">SUM(B2:B50)</f>
        <v>1534</v>
      </c>
      <c r="C51" s="23">
        <f t="shared" si="5"/>
        <v>2975</v>
      </c>
      <c r="D51" s="23">
        <f t="shared" si="5"/>
        <v>17957</v>
      </c>
      <c r="E51" s="23">
        <f t="shared" si="5"/>
        <v>63427</v>
      </c>
      <c r="F51" s="23">
        <f t="shared" si="5"/>
        <v>46553</v>
      </c>
      <c r="G51" s="23">
        <f t="shared" si="5"/>
        <v>68280</v>
      </c>
    </row>
    <row r="52" spans="1:7" ht="15.75" customHeight="1"/>
    <row r="53" spans="1:7" ht="15.75" customHeight="1"/>
    <row r="54" spans="1:7" ht="15.75" customHeight="1"/>
    <row r="55" spans="1:7" ht="15.7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R23:V23"/>
  </mergeCells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0"/>
  <sheetViews>
    <sheetView tabSelected="1" topLeftCell="A13" workbookViewId="0">
      <selection activeCell="I20" sqref="I20:M30"/>
    </sheetView>
  </sheetViews>
  <sheetFormatPr defaultColWidth="14.42578125" defaultRowHeight="15" customHeight="1"/>
  <cols>
    <col min="1" max="1" width="13.5703125" customWidth="1"/>
    <col min="2" max="5" width="9.140625" customWidth="1"/>
    <col min="6" max="6" width="12.5703125" customWidth="1"/>
    <col min="7" max="7" width="9.140625" customWidth="1"/>
    <col min="8" max="8" width="13" customWidth="1"/>
    <col min="9" max="9" width="9.28515625" customWidth="1"/>
    <col min="10" max="10" width="9.140625" customWidth="1"/>
    <col min="11" max="11" width="13.28515625" customWidth="1"/>
    <col min="12" max="12" width="9.140625" customWidth="1"/>
    <col min="13" max="13" width="18.7109375" customWidth="1"/>
    <col min="14" max="16" width="9.140625" customWidth="1"/>
    <col min="17" max="17" width="11.7109375" customWidth="1"/>
    <col min="18" max="26" width="9.140625" customWidth="1"/>
  </cols>
  <sheetData>
    <row r="1" spans="1:15" ht="24" customHeight="1">
      <c r="A1" s="84" t="s">
        <v>136</v>
      </c>
      <c r="B1" s="87" t="s">
        <v>137</v>
      </c>
      <c r="C1" s="80"/>
      <c r="D1" s="80"/>
      <c r="E1" s="80"/>
      <c r="F1" s="70"/>
      <c r="H1" s="88" t="s">
        <v>138</v>
      </c>
      <c r="I1" s="80"/>
      <c r="J1" s="80"/>
      <c r="K1" s="80"/>
      <c r="L1" s="70"/>
      <c r="M1" s="37">
        <v>0.1</v>
      </c>
      <c r="O1" s="19" t="s">
        <v>139</v>
      </c>
    </row>
    <row r="2" spans="1:15" ht="21" customHeight="1">
      <c r="A2" s="85"/>
      <c r="B2" s="89" t="s">
        <v>140</v>
      </c>
      <c r="C2" s="90"/>
      <c r="D2" s="91" t="s">
        <v>141</v>
      </c>
      <c r="E2" s="90"/>
      <c r="F2" s="36" t="s">
        <v>142</v>
      </c>
      <c r="H2" s="88" t="s">
        <v>143</v>
      </c>
      <c r="I2" s="80"/>
      <c r="J2" s="80"/>
      <c r="K2" s="80"/>
      <c r="L2" s="70"/>
      <c r="M2" s="37">
        <v>3.9E-2</v>
      </c>
      <c r="O2" s="19" t="s">
        <v>144</v>
      </c>
    </row>
    <row r="3" spans="1:15">
      <c r="A3" s="86"/>
      <c r="B3" s="38">
        <v>0.4</v>
      </c>
      <c r="C3" s="39" t="s">
        <v>145</v>
      </c>
      <c r="D3" s="40">
        <v>0.6</v>
      </c>
      <c r="E3" s="41" t="s">
        <v>146</v>
      </c>
      <c r="F3" s="42" t="s">
        <v>147</v>
      </c>
      <c r="H3" s="88" t="s">
        <v>148</v>
      </c>
      <c r="I3" s="80"/>
      <c r="J3" s="80"/>
      <c r="K3" s="80"/>
      <c r="L3" s="70"/>
      <c r="M3" s="43">
        <f>B4/1320</f>
        <v>1.5189733333333335</v>
      </c>
      <c r="O3" s="19" t="s">
        <v>149</v>
      </c>
    </row>
    <row r="4" spans="1:15" ht="16.5" customHeight="1">
      <c r="A4" s="44">
        <v>1</v>
      </c>
      <c r="B4" s="93">
        <f t="shared" ref="B4:B22" si="0">F4*$B$3</f>
        <v>2005.0448000000001</v>
      </c>
      <c r="C4" s="94"/>
      <c r="D4" s="95">
        <f t="shared" ref="D4:D22" si="1">F4*$D$3</f>
        <v>3007.5672</v>
      </c>
      <c r="E4" s="94"/>
      <c r="F4" s="45">
        <f>4556.92+4556.92*M1</f>
        <v>5012.6120000000001</v>
      </c>
      <c r="H4" s="46"/>
      <c r="I4" s="46"/>
      <c r="J4" s="46"/>
      <c r="K4" s="46"/>
      <c r="L4" s="46"/>
      <c r="M4" s="47"/>
    </row>
    <row r="5" spans="1:15" ht="16.5" customHeight="1">
      <c r="A5" s="44">
        <v>2</v>
      </c>
      <c r="B5" s="82">
        <f t="shared" si="0"/>
        <v>2083.2415472000002</v>
      </c>
      <c r="C5" s="70"/>
      <c r="D5" s="83">
        <f t="shared" si="1"/>
        <v>3124.8623207999999</v>
      </c>
      <c r="E5" s="70"/>
      <c r="F5" s="48">
        <f t="shared" ref="F5:F22" si="2">F4+F4*$M$2</f>
        <v>5208.1038680000001</v>
      </c>
      <c r="H5" s="49" t="s">
        <v>150</v>
      </c>
      <c r="I5" s="50" t="s">
        <v>151</v>
      </c>
      <c r="J5" s="50" t="s">
        <v>152</v>
      </c>
      <c r="K5" s="50" t="s">
        <v>153</v>
      </c>
      <c r="L5" s="50" t="s">
        <v>154</v>
      </c>
      <c r="M5" s="50" t="s">
        <v>155</v>
      </c>
    </row>
    <row r="6" spans="1:15" ht="16.5" customHeight="1">
      <c r="A6" s="44">
        <v>3</v>
      </c>
      <c r="B6" s="82">
        <f t="shared" si="0"/>
        <v>2164.4879675408001</v>
      </c>
      <c r="C6" s="70"/>
      <c r="D6" s="83">
        <f t="shared" si="1"/>
        <v>3246.7319513111997</v>
      </c>
      <c r="E6" s="70"/>
      <c r="F6" s="48">
        <f t="shared" si="2"/>
        <v>5411.2199188519999</v>
      </c>
      <c r="H6" s="50" t="s">
        <v>156</v>
      </c>
      <c r="I6" s="51">
        <f>(B4-1446.12)/1446.12</f>
        <v>0.38649959892678359</v>
      </c>
      <c r="J6" s="51">
        <f>(B4-1750.99)/1750.99</f>
        <v>0.14509209076008436</v>
      </c>
      <c r="K6" s="51">
        <f>(D4-2120.13)/2120.13</f>
        <v>0.41857678538580173</v>
      </c>
      <c r="L6" s="51">
        <f>(D4-2667.19)/2667.19</f>
        <v>0.12761640528046367</v>
      </c>
      <c r="M6" s="51">
        <f>(F4-4556.92)/4556.92</f>
        <v>0.1</v>
      </c>
      <c r="O6" s="52" t="s">
        <v>157</v>
      </c>
    </row>
    <row r="7" spans="1:15" ht="16.5" customHeight="1">
      <c r="A7" s="44">
        <v>4</v>
      </c>
      <c r="B7" s="82">
        <f t="shared" si="0"/>
        <v>2248.9029982748912</v>
      </c>
      <c r="C7" s="70"/>
      <c r="D7" s="83">
        <f t="shared" si="1"/>
        <v>3373.3544974123365</v>
      </c>
      <c r="E7" s="70"/>
      <c r="F7" s="48">
        <f t="shared" si="2"/>
        <v>5622.2574956872277</v>
      </c>
      <c r="O7" s="52" t="s">
        <v>158</v>
      </c>
    </row>
    <row r="8" spans="1:15" ht="16.5" customHeight="1">
      <c r="A8" s="44">
        <v>5</v>
      </c>
      <c r="B8" s="82">
        <f t="shared" si="0"/>
        <v>2336.6102152076119</v>
      </c>
      <c r="C8" s="70"/>
      <c r="D8" s="83">
        <f t="shared" si="1"/>
        <v>3504.9153228114174</v>
      </c>
      <c r="E8" s="70"/>
      <c r="F8" s="48">
        <f t="shared" si="2"/>
        <v>5841.5255380190292</v>
      </c>
      <c r="H8" s="92" t="s">
        <v>159</v>
      </c>
      <c r="I8" s="80"/>
      <c r="J8" s="80"/>
      <c r="K8" s="80"/>
      <c r="L8" s="80"/>
      <c r="M8" s="70"/>
    </row>
    <row r="9" spans="1:15" ht="16.5" customHeight="1">
      <c r="A9" s="44">
        <v>6</v>
      </c>
      <c r="B9" s="82">
        <f t="shared" si="0"/>
        <v>2427.7380136007087</v>
      </c>
      <c r="C9" s="70"/>
      <c r="D9" s="83">
        <f t="shared" si="1"/>
        <v>3641.607020401063</v>
      </c>
      <c r="E9" s="70"/>
      <c r="F9" s="48">
        <f t="shared" si="2"/>
        <v>6069.3450340017716</v>
      </c>
      <c r="H9" s="96" t="s">
        <v>160</v>
      </c>
      <c r="I9" s="97"/>
      <c r="J9" s="97"/>
      <c r="K9" s="98"/>
      <c r="L9" s="102" t="str">
        <f>IF(O7="Não",IF(AND(M2=3.9%,M1=0%),'Folha - Bases Cálculo'!C21,"Informar circunstâncias atuais"),IF(AND(M2=3.9%,M1=0%),'Folha - Bases Cálculo'!G21,"Informar circunstâncias atuais"))</f>
        <v>Informar circunstâncias atuais</v>
      </c>
      <c r="M9" s="98"/>
    </row>
    <row r="10" spans="1:15" ht="16.5" customHeight="1">
      <c r="A10" s="44">
        <v>7</v>
      </c>
      <c r="B10" s="82">
        <f t="shared" si="0"/>
        <v>2522.4197961311365</v>
      </c>
      <c r="C10" s="70"/>
      <c r="D10" s="83">
        <f t="shared" si="1"/>
        <v>3783.6296941967039</v>
      </c>
      <c r="E10" s="70"/>
      <c r="F10" s="48">
        <f t="shared" si="2"/>
        <v>6306.0494903278404</v>
      </c>
      <c r="H10" s="99"/>
      <c r="I10" s="100"/>
      <c r="J10" s="100"/>
      <c r="K10" s="101"/>
      <c r="L10" s="99"/>
      <c r="M10" s="101"/>
    </row>
    <row r="11" spans="1:15" ht="23.25" customHeight="1">
      <c r="A11" s="44">
        <v>8</v>
      </c>
      <c r="B11" s="82">
        <f t="shared" si="0"/>
        <v>2620.7941681802508</v>
      </c>
      <c r="C11" s="70"/>
      <c r="D11" s="83">
        <f t="shared" si="1"/>
        <v>3931.1912522703756</v>
      </c>
      <c r="E11" s="70"/>
      <c r="F11" s="48">
        <f t="shared" si="2"/>
        <v>6551.9854204506264</v>
      </c>
      <c r="H11" s="105" t="s">
        <v>161</v>
      </c>
      <c r="I11" s="80"/>
      <c r="J11" s="80"/>
      <c r="K11" s="80"/>
      <c r="L11" s="80"/>
      <c r="M11" s="70"/>
    </row>
    <row r="12" spans="1:15" ht="16.5" customHeight="1">
      <c r="A12" s="44">
        <v>9</v>
      </c>
      <c r="B12" s="82">
        <f t="shared" si="0"/>
        <v>2723.0051407392803</v>
      </c>
      <c r="C12" s="70"/>
      <c r="D12" s="83">
        <f t="shared" si="1"/>
        <v>4084.5077111089204</v>
      </c>
      <c r="E12" s="70"/>
      <c r="F12" s="48">
        <f t="shared" si="2"/>
        <v>6807.5128518482006</v>
      </c>
      <c r="H12" s="106">
        <f>IF(O7="Não",'Folha - Bases Cálculo'!C21,'Folha - Bases Cálculo'!G21)</f>
        <v>3003666188.1352572</v>
      </c>
      <c r="I12" s="97"/>
      <c r="J12" s="97"/>
      <c r="K12" s="97"/>
      <c r="L12" s="97"/>
      <c r="M12" s="98"/>
      <c r="N12" s="53"/>
    </row>
    <row r="13" spans="1:15" ht="16.5" customHeight="1">
      <c r="A13" s="44">
        <v>10</v>
      </c>
      <c r="B13" s="82">
        <f t="shared" si="0"/>
        <v>2829.2023412281123</v>
      </c>
      <c r="C13" s="70"/>
      <c r="D13" s="83">
        <f t="shared" si="1"/>
        <v>4243.8035118421685</v>
      </c>
      <c r="E13" s="70"/>
      <c r="F13" s="48">
        <f t="shared" si="2"/>
        <v>7073.0058530702809</v>
      </c>
      <c r="H13" s="99"/>
      <c r="I13" s="100"/>
      <c r="J13" s="100"/>
      <c r="K13" s="100"/>
      <c r="L13" s="100"/>
      <c r="M13" s="101"/>
      <c r="N13" s="53"/>
    </row>
    <row r="14" spans="1:15" ht="16.5" customHeight="1">
      <c r="A14" s="44">
        <v>11</v>
      </c>
      <c r="B14" s="82">
        <f t="shared" si="0"/>
        <v>2939.5412325360089</v>
      </c>
      <c r="C14" s="70"/>
      <c r="D14" s="83">
        <f t="shared" si="1"/>
        <v>4409.3118488040127</v>
      </c>
      <c r="E14" s="70"/>
      <c r="F14" s="48">
        <f t="shared" si="2"/>
        <v>7348.8530813400221</v>
      </c>
      <c r="H14" s="103" t="s">
        <v>162</v>
      </c>
      <c r="I14" s="80"/>
      <c r="J14" s="80"/>
      <c r="K14" s="80"/>
      <c r="L14" s="80"/>
      <c r="M14" s="70"/>
    </row>
    <row r="15" spans="1:15" ht="16.5" customHeight="1">
      <c r="A15" s="44">
        <v>12</v>
      </c>
      <c r="B15" s="82">
        <f t="shared" si="0"/>
        <v>3054.1833406049136</v>
      </c>
      <c r="C15" s="70"/>
      <c r="D15" s="83">
        <f t="shared" si="1"/>
        <v>4581.2750109073695</v>
      </c>
      <c r="E15" s="70"/>
      <c r="F15" s="48">
        <f t="shared" si="2"/>
        <v>7635.4583515122831</v>
      </c>
      <c r="H15" s="104">
        <f>IF(O7="Não",'Folha - Bases Cálculo'!D21,'Folha - Bases Cálculo'!H21)</f>
        <v>22752010655.768379</v>
      </c>
      <c r="I15" s="97"/>
      <c r="J15" s="97"/>
      <c r="K15" s="97"/>
      <c r="L15" s="97"/>
      <c r="M15" s="98"/>
    </row>
    <row r="16" spans="1:15" ht="16.5" customHeight="1">
      <c r="A16" s="44">
        <v>13</v>
      </c>
      <c r="B16" s="82">
        <f t="shared" si="0"/>
        <v>3173.2964908885051</v>
      </c>
      <c r="C16" s="70"/>
      <c r="D16" s="83">
        <f t="shared" si="1"/>
        <v>4759.9447363327572</v>
      </c>
      <c r="E16" s="70"/>
      <c r="F16" s="48">
        <f t="shared" si="2"/>
        <v>7933.2412272212623</v>
      </c>
      <c r="H16" s="99"/>
      <c r="I16" s="100"/>
      <c r="J16" s="100"/>
      <c r="K16" s="100"/>
      <c r="L16" s="100"/>
      <c r="M16" s="101"/>
    </row>
    <row r="17" spans="1:13" ht="16.5" customHeight="1">
      <c r="A17" s="44">
        <v>14</v>
      </c>
      <c r="B17" s="82">
        <f t="shared" si="0"/>
        <v>3297.0550540331569</v>
      </c>
      <c r="C17" s="70"/>
      <c r="D17" s="83">
        <f t="shared" si="1"/>
        <v>4945.5825810497354</v>
      </c>
      <c r="E17" s="70"/>
      <c r="F17" s="48">
        <f t="shared" si="2"/>
        <v>8242.6376350828923</v>
      </c>
    </row>
    <row r="18" spans="1:13" ht="16.5" customHeight="1">
      <c r="A18" s="44">
        <v>15</v>
      </c>
      <c r="B18" s="82">
        <f t="shared" si="0"/>
        <v>3425.6402011404498</v>
      </c>
      <c r="C18" s="70"/>
      <c r="D18" s="83">
        <f t="shared" si="1"/>
        <v>5138.4603017106747</v>
      </c>
      <c r="E18" s="70"/>
      <c r="F18" s="48">
        <f t="shared" si="2"/>
        <v>8564.1005028511245</v>
      </c>
      <c r="H18" s="21" t="s">
        <v>163</v>
      </c>
    </row>
    <row r="19" spans="1:13" ht="16.5" customHeight="1">
      <c r="A19" s="44">
        <v>16</v>
      </c>
      <c r="B19" s="82">
        <f t="shared" si="0"/>
        <v>3559.2401689849271</v>
      </c>
      <c r="C19" s="70"/>
      <c r="D19" s="83">
        <f t="shared" si="1"/>
        <v>5338.86025347739</v>
      </c>
      <c r="E19" s="70"/>
      <c r="F19" s="48">
        <f t="shared" si="2"/>
        <v>8898.1004224623175</v>
      </c>
    </row>
    <row r="20" spans="1:13" ht="16.5" customHeight="1" thickBot="1">
      <c r="A20" s="44">
        <v>17</v>
      </c>
      <c r="B20" s="82">
        <f t="shared" si="0"/>
        <v>3698.0505355753394</v>
      </c>
      <c r="C20" s="70"/>
      <c r="D20" s="83">
        <f t="shared" si="1"/>
        <v>5547.0758033630082</v>
      </c>
      <c r="E20" s="70"/>
      <c r="F20" s="48">
        <f t="shared" si="2"/>
        <v>9245.1263389383475</v>
      </c>
      <c r="I20" s="65"/>
      <c r="J20" s="107" t="s">
        <v>249</v>
      </c>
      <c r="K20" s="108"/>
      <c r="L20" s="108"/>
      <c r="M20" s="109"/>
    </row>
    <row r="21" spans="1:13" ht="16.5" customHeight="1">
      <c r="A21" s="44">
        <v>18</v>
      </c>
      <c r="B21" s="82">
        <f t="shared" si="0"/>
        <v>3842.2745064627775</v>
      </c>
      <c r="C21" s="70"/>
      <c r="D21" s="83">
        <f t="shared" si="1"/>
        <v>5763.411759694166</v>
      </c>
      <c r="E21" s="70"/>
      <c r="F21" s="48">
        <f t="shared" si="2"/>
        <v>9605.686266156943</v>
      </c>
      <c r="I21" s="66" t="s">
        <v>239</v>
      </c>
      <c r="J21" s="110">
        <f>B4</f>
        <v>2005.0448000000001</v>
      </c>
      <c r="K21" s="111"/>
      <c r="L21" s="111"/>
      <c r="M21" s="112"/>
    </row>
    <row r="22" spans="1:13" ht="16.5" customHeight="1">
      <c r="A22" s="44">
        <v>19</v>
      </c>
      <c r="B22" s="82">
        <f t="shared" si="0"/>
        <v>3992.1232122148258</v>
      </c>
      <c r="C22" s="70"/>
      <c r="D22" s="83">
        <f t="shared" si="1"/>
        <v>5988.1848183222382</v>
      </c>
      <c r="E22" s="70"/>
      <c r="F22" s="48">
        <f t="shared" si="2"/>
        <v>9980.308030537064</v>
      </c>
      <c r="I22" s="68" t="s">
        <v>240</v>
      </c>
      <c r="J22" s="110">
        <f>B22</f>
        <v>3992.1232122148258</v>
      </c>
      <c r="K22" s="111"/>
      <c r="L22" s="111"/>
      <c r="M22" s="112"/>
    </row>
    <row r="23" spans="1:13" ht="15.75" customHeight="1">
      <c r="A23" s="46"/>
      <c r="B23" s="46"/>
      <c r="C23" s="46"/>
      <c r="D23" s="46"/>
      <c r="E23" s="46"/>
      <c r="F23" s="46"/>
      <c r="I23" s="67" t="s">
        <v>241</v>
      </c>
      <c r="J23" s="110">
        <f>B4</f>
        <v>2005.0448000000001</v>
      </c>
      <c r="K23" s="111"/>
      <c r="L23" s="111"/>
      <c r="M23" s="112"/>
    </row>
    <row r="24" spans="1:13" ht="16.5" customHeight="1">
      <c r="I24" s="68" t="s">
        <v>242</v>
      </c>
      <c r="J24" s="110">
        <f>B22</f>
        <v>3992.1232122148258</v>
      </c>
      <c r="K24" s="111"/>
      <c r="L24" s="111"/>
      <c r="M24" s="112"/>
    </row>
    <row r="25" spans="1:13" ht="16.5" customHeight="1">
      <c r="I25" s="67" t="s">
        <v>243</v>
      </c>
      <c r="J25" s="110">
        <f>D4</f>
        <v>3007.5672</v>
      </c>
      <c r="K25" s="111"/>
      <c r="L25" s="111"/>
      <c r="M25" s="112"/>
    </row>
    <row r="26" spans="1:13" ht="16.5" customHeight="1">
      <c r="I26" s="68" t="s">
        <v>244</v>
      </c>
      <c r="J26" s="110">
        <f>D22</f>
        <v>5988.1848183222382</v>
      </c>
      <c r="K26" s="111"/>
      <c r="L26" s="111"/>
      <c r="M26" s="112"/>
    </row>
    <row r="27" spans="1:13" ht="15.75" customHeight="1">
      <c r="I27" s="67" t="s">
        <v>245</v>
      </c>
      <c r="J27" s="110">
        <f>D4</f>
        <v>3007.5672</v>
      </c>
      <c r="K27" s="111"/>
      <c r="L27" s="111"/>
      <c r="M27" s="112"/>
    </row>
    <row r="28" spans="1:13" ht="15.75" customHeight="1">
      <c r="I28" s="68" t="s">
        <v>246</v>
      </c>
      <c r="J28" s="113">
        <f>D22</f>
        <v>5988.1848183222382</v>
      </c>
      <c r="K28" s="113"/>
      <c r="L28" s="113"/>
      <c r="M28" s="113"/>
    </row>
    <row r="29" spans="1:13" ht="15.75" customHeight="1">
      <c r="I29" s="67" t="s">
        <v>247</v>
      </c>
      <c r="J29" s="113">
        <f>F4</f>
        <v>5012.6120000000001</v>
      </c>
      <c r="K29" s="113"/>
      <c r="L29" s="113"/>
      <c r="M29" s="113"/>
    </row>
    <row r="30" spans="1:13" ht="15.75" customHeight="1">
      <c r="I30" s="68" t="s">
        <v>248</v>
      </c>
      <c r="J30" s="113">
        <f>F22</f>
        <v>9980.308030537064</v>
      </c>
      <c r="K30" s="113"/>
      <c r="L30" s="113"/>
      <c r="M30" s="113"/>
    </row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J30:M30"/>
    <mergeCell ref="J25:M25"/>
    <mergeCell ref="J26:M26"/>
    <mergeCell ref="J27:M27"/>
    <mergeCell ref="J28:M28"/>
    <mergeCell ref="J29:M29"/>
    <mergeCell ref="J20:M20"/>
    <mergeCell ref="J21:M21"/>
    <mergeCell ref="J22:M22"/>
    <mergeCell ref="J23:M23"/>
    <mergeCell ref="J24:M24"/>
    <mergeCell ref="H14:M14"/>
    <mergeCell ref="H15:M16"/>
    <mergeCell ref="B11:C11"/>
    <mergeCell ref="D11:E11"/>
    <mergeCell ref="H11:M11"/>
    <mergeCell ref="B12:C12"/>
    <mergeCell ref="D12:E12"/>
    <mergeCell ref="H12:M13"/>
    <mergeCell ref="D13:E13"/>
    <mergeCell ref="B13:C13"/>
    <mergeCell ref="B14:C14"/>
    <mergeCell ref="D14:E14"/>
    <mergeCell ref="B15:C15"/>
    <mergeCell ref="D15:E15"/>
    <mergeCell ref="B16:C16"/>
    <mergeCell ref="D16:E16"/>
    <mergeCell ref="B9:C9"/>
    <mergeCell ref="D9:E9"/>
    <mergeCell ref="H9:K10"/>
    <mergeCell ref="L9:M10"/>
    <mergeCell ref="B10:C10"/>
    <mergeCell ref="D10:E10"/>
    <mergeCell ref="B7:C7"/>
    <mergeCell ref="B8:C8"/>
    <mergeCell ref="H8:M8"/>
    <mergeCell ref="B4:C4"/>
    <mergeCell ref="D4:E4"/>
    <mergeCell ref="B5:C5"/>
    <mergeCell ref="D5:E5"/>
    <mergeCell ref="B6:C6"/>
    <mergeCell ref="D6:E6"/>
    <mergeCell ref="D7:E7"/>
    <mergeCell ref="D8:E8"/>
    <mergeCell ref="A1:A3"/>
    <mergeCell ref="B1:F1"/>
    <mergeCell ref="H1:L1"/>
    <mergeCell ref="B2:C2"/>
    <mergeCell ref="D2:E2"/>
    <mergeCell ref="H2:L2"/>
    <mergeCell ref="H3:L3"/>
    <mergeCell ref="B17:C17"/>
    <mergeCell ref="D17:E17"/>
    <mergeCell ref="B18:C18"/>
    <mergeCell ref="D18:E18"/>
    <mergeCell ref="B19:C19"/>
    <mergeCell ref="D19:E19"/>
    <mergeCell ref="B20:C20"/>
    <mergeCell ref="B21:C21"/>
    <mergeCell ref="B22:C22"/>
    <mergeCell ref="D21:E21"/>
    <mergeCell ref="D22:E22"/>
    <mergeCell ref="D20:E20"/>
  </mergeCells>
  <dataValidations count="1">
    <dataValidation type="list" allowBlank="1" showErrorMessage="1" sqref="O7" xr:uid="{00000000-0002-0000-0300-000000000000}">
      <formula1>"Sim,Não"</formula1>
    </dataValidation>
  </dataValidations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1000"/>
  <sheetViews>
    <sheetView topLeftCell="B12" workbookViewId="0">
      <selection activeCell="AC19" sqref="AC19:AG29"/>
    </sheetView>
  </sheetViews>
  <sheetFormatPr defaultColWidth="14.42578125" defaultRowHeight="15" customHeight="1"/>
  <cols>
    <col min="1" max="1" width="11.140625" customWidth="1"/>
    <col min="2" max="2" width="10.85546875" customWidth="1"/>
    <col min="3" max="8" width="2.7109375" customWidth="1"/>
    <col min="9" max="9" width="3.28515625" customWidth="1"/>
    <col min="10" max="10" width="3.85546875" customWidth="1"/>
    <col min="11" max="16" width="2.7109375" customWidth="1"/>
    <col min="17" max="17" width="3.28515625" customWidth="1"/>
    <col min="18" max="18" width="3.85546875" customWidth="1"/>
    <col min="19" max="24" width="2.7109375" customWidth="1"/>
    <col min="25" max="25" width="3.28515625" customWidth="1"/>
    <col min="26" max="26" width="3.85546875" customWidth="1"/>
    <col min="27" max="27" width="2.140625" customWidth="1"/>
    <col min="28" max="28" width="12.42578125" customWidth="1"/>
    <col min="29" max="31" width="8.7109375" customWidth="1"/>
    <col min="32" max="32" width="13.5703125" customWidth="1"/>
    <col min="33" max="33" width="13.7109375" customWidth="1"/>
    <col min="34" max="34" width="1.85546875" customWidth="1"/>
    <col min="35" max="35" width="35.28515625" customWidth="1"/>
  </cols>
  <sheetData>
    <row r="1" spans="1:35" ht="23.45" customHeight="1">
      <c r="A1" s="114" t="s">
        <v>220</v>
      </c>
      <c r="B1" s="115" t="s">
        <v>137</v>
      </c>
      <c r="C1" s="116" t="s">
        <v>221</v>
      </c>
      <c r="D1" s="80"/>
      <c r="E1" s="80"/>
      <c r="F1" s="80"/>
      <c r="G1" s="80"/>
      <c r="H1" s="80"/>
      <c r="I1" s="80"/>
      <c r="J1" s="70"/>
      <c r="K1" s="117" t="s">
        <v>222</v>
      </c>
      <c r="L1" s="80"/>
      <c r="M1" s="80"/>
      <c r="N1" s="80"/>
      <c r="O1" s="80"/>
      <c r="P1" s="80"/>
      <c r="Q1" s="80"/>
      <c r="R1" s="70"/>
      <c r="S1" s="116" t="s">
        <v>223</v>
      </c>
      <c r="T1" s="80"/>
      <c r="U1" s="80"/>
      <c r="V1" s="80"/>
      <c r="W1" s="80"/>
      <c r="X1" s="80"/>
      <c r="Y1" s="80"/>
      <c r="Z1" s="70"/>
      <c r="AB1" s="88" t="s">
        <v>224</v>
      </c>
      <c r="AC1" s="80"/>
      <c r="AD1" s="80"/>
      <c r="AE1" s="80"/>
      <c r="AF1" s="70"/>
      <c r="AG1" s="37">
        <v>0.3</v>
      </c>
      <c r="AI1" s="21" t="s">
        <v>225</v>
      </c>
    </row>
    <row r="2" spans="1:35">
      <c r="A2" s="101"/>
      <c r="B2" s="76"/>
      <c r="C2" s="56" t="s">
        <v>83</v>
      </c>
      <c r="D2" s="56" t="s">
        <v>84</v>
      </c>
      <c r="E2" s="56" t="s">
        <v>85</v>
      </c>
      <c r="F2" s="56" t="s">
        <v>86</v>
      </c>
      <c r="G2" s="56" t="s">
        <v>226</v>
      </c>
      <c r="H2" s="56" t="s">
        <v>227</v>
      </c>
      <c r="I2" s="56" t="s">
        <v>228</v>
      </c>
      <c r="J2" s="56" t="s">
        <v>229</v>
      </c>
      <c r="K2" s="57" t="s">
        <v>83</v>
      </c>
      <c r="L2" s="57" t="s">
        <v>84</v>
      </c>
      <c r="M2" s="57" t="s">
        <v>85</v>
      </c>
      <c r="N2" s="57" t="s">
        <v>86</v>
      </c>
      <c r="O2" s="57" t="s">
        <v>226</v>
      </c>
      <c r="P2" s="57" t="s">
        <v>227</v>
      </c>
      <c r="Q2" s="57" t="s">
        <v>228</v>
      </c>
      <c r="R2" s="57" t="s">
        <v>229</v>
      </c>
      <c r="S2" s="56" t="s">
        <v>83</v>
      </c>
      <c r="T2" s="56" t="s">
        <v>84</v>
      </c>
      <c r="U2" s="56" t="s">
        <v>85</v>
      </c>
      <c r="V2" s="56" t="s">
        <v>86</v>
      </c>
      <c r="W2" s="56" t="s">
        <v>226</v>
      </c>
      <c r="X2" s="56" t="s">
        <v>227</v>
      </c>
      <c r="Y2" s="56" t="s">
        <v>228</v>
      </c>
      <c r="Z2" s="56" t="s">
        <v>229</v>
      </c>
      <c r="AB2" s="88" t="s">
        <v>230</v>
      </c>
      <c r="AC2" s="80"/>
      <c r="AD2" s="80"/>
      <c r="AE2" s="80"/>
      <c r="AF2" s="70"/>
      <c r="AG2" s="37">
        <v>3.9E-2</v>
      </c>
      <c r="AI2" s="19" t="s">
        <v>144</v>
      </c>
    </row>
    <row r="3" spans="1:35">
      <c r="A3" s="54" t="s">
        <v>87</v>
      </c>
      <c r="B3" s="58">
        <f>2120.13+2120.13*AG1</f>
        <v>2756.1689999999999</v>
      </c>
      <c r="C3" s="56">
        <v>1</v>
      </c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O3" s="57"/>
      <c r="P3" s="57"/>
      <c r="Q3" s="57"/>
      <c r="R3" s="57"/>
      <c r="S3" s="56"/>
      <c r="T3" s="56"/>
      <c r="U3" s="56"/>
      <c r="V3" s="56"/>
      <c r="W3" s="56"/>
      <c r="X3" s="56"/>
      <c r="Y3" s="56"/>
      <c r="Z3" s="56"/>
      <c r="AB3" s="88" t="s">
        <v>148</v>
      </c>
      <c r="AC3" s="80"/>
      <c r="AD3" s="80"/>
      <c r="AE3" s="80"/>
      <c r="AF3" s="70"/>
      <c r="AG3" s="43">
        <f>B3/1320</f>
        <v>2.0880068181818179</v>
      </c>
      <c r="AI3" s="118" t="s">
        <v>231</v>
      </c>
    </row>
    <row r="4" spans="1:35">
      <c r="A4" s="54" t="s">
        <v>88</v>
      </c>
      <c r="B4" s="58">
        <f t="shared" ref="B4:B38" si="0">B3+B3*$AG$2</f>
        <v>2863.6595909999996</v>
      </c>
      <c r="C4" s="56">
        <v>2</v>
      </c>
      <c r="D4" s="56">
        <v>1</v>
      </c>
      <c r="E4" s="56"/>
      <c r="F4" s="56"/>
      <c r="G4" s="56"/>
      <c r="H4" s="56"/>
      <c r="I4" s="56"/>
      <c r="J4" s="56"/>
      <c r="K4" s="57"/>
      <c r="L4" s="57"/>
      <c r="M4" s="57"/>
      <c r="N4" s="57"/>
      <c r="O4" s="57"/>
      <c r="P4" s="57"/>
      <c r="Q4" s="57"/>
      <c r="R4" s="57"/>
      <c r="S4" s="56"/>
      <c r="T4" s="56"/>
      <c r="U4" s="56"/>
      <c r="V4" s="56"/>
      <c r="W4" s="56"/>
      <c r="X4" s="56"/>
      <c r="Y4" s="56"/>
      <c r="Z4" s="56"/>
      <c r="AB4" s="46"/>
      <c r="AC4" s="46"/>
      <c r="AD4" s="46"/>
      <c r="AE4" s="46"/>
      <c r="AF4" s="46"/>
      <c r="AG4" s="47"/>
      <c r="AI4" s="72"/>
    </row>
    <row r="5" spans="1:35">
      <c r="A5" s="54" t="s">
        <v>89</v>
      </c>
      <c r="B5" s="58">
        <f t="shared" si="0"/>
        <v>2975.3423150489998</v>
      </c>
      <c r="C5" s="56">
        <v>3</v>
      </c>
      <c r="D5" s="56">
        <v>2</v>
      </c>
      <c r="E5" s="56">
        <v>1</v>
      </c>
      <c r="F5" s="56"/>
      <c r="G5" s="56"/>
      <c r="H5" s="56"/>
      <c r="I5" s="56"/>
      <c r="J5" s="56"/>
      <c r="K5" s="57"/>
      <c r="L5" s="57"/>
      <c r="M5" s="57"/>
      <c r="N5" s="57"/>
      <c r="O5" s="57"/>
      <c r="P5" s="57"/>
      <c r="Q5" s="57"/>
      <c r="R5" s="57"/>
      <c r="S5" s="56"/>
      <c r="T5" s="56"/>
      <c r="U5" s="56"/>
      <c r="V5" s="56"/>
      <c r="W5" s="56"/>
      <c r="X5" s="56"/>
      <c r="Y5" s="56"/>
      <c r="Z5" s="56"/>
      <c r="AB5" s="49" t="s">
        <v>232</v>
      </c>
      <c r="AC5" s="50" t="s">
        <v>233</v>
      </c>
      <c r="AD5" s="50" t="s">
        <v>234</v>
      </c>
      <c r="AE5" s="50" t="s">
        <v>235</v>
      </c>
      <c r="AF5" s="50" t="s">
        <v>236</v>
      </c>
      <c r="AG5" s="50" t="s">
        <v>237</v>
      </c>
    </row>
    <row r="6" spans="1:35">
      <c r="A6" s="54" t="s">
        <v>90</v>
      </c>
      <c r="B6" s="58">
        <f t="shared" si="0"/>
        <v>3091.3806653359106</v>
      </c>
      <c r="C6" s="56">
        <v>4</v>
      </c>
      <c r="D6" s="56">
        <v>3</v>
      </c>
      <c r="E6" s="56">
        <v>2</v>
      </c>
      <c r="F6" s="56">
        <v>1</v>
      </c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6"/>
      <c r="T6" s="56"/>
      <c r="U6" s="56"/>
      <c r="V6" s="56"/>
      <c r="W6" s="56"/>
      <c r="X6" s="56"/>
      <c r="Y6" s="56"/>
      <c r="Z6" s="56"/>
      <c r="AB6" s="50" t="s">
        <v>238</v>
      </c>
      <c r="AC6" s="51">
        <f>(B3-1446.12)/1446.12</f>
        <v>0.90590614886731402</v>
      </c>
      <c r="AD6" s="51">
        <f>(B3-1750.99)/1750.99</f>
        <v>0.57406324422184019</v>
      </c>
      <c r="AE6" s="51">
        <f>(B3-2120.13)/2120.13</f>
        <v>0.29999999999999988</v>
      </c>
      <c r="AF6" s="51">
        <f>(B11-2667.19)/2667.19</f>
        <v>0.40338318929070544</v>
      </c>
      <c r="AG6" s="37">
        <f>(B19-4556.92)/4556.92</f>
        <v>0.11553499857029688</v>
      </c>
      <c r="AI6" s="52" t="s">
        <v>157</v>
      </c>
    </row>
    <row r="7" spans="1:35">
      <c r="A7" s="54" t="s">
        <v>91</v>
      </c>
      <c r="B7" s="58">
        <f t="shared" si="0"/>
        <v>3211.9445112840112</v>
      </c>
      <c r="C7" s="56">
        <v>5</v>
      </c>
      <c r="D7" s="56">
        <v>4</v>
      </c>
      <c r="E7" s="56">
        <v>3</v>
      </c>
      <c r="F7" s="56">
        <v>2</v>
      </c>
      <c r="G7" s="56">
        <v>1</v>
      </c>
      <c r="H7" s="56"/>
      <c r="I7" s="56"/>
      <c r="J7" s="56"/>
      <c r="K7" s="57"/>
      <c r="L7" s="57"/>
      <c r="M7" s="57"/>
      <c r="N7" s="57"/>
      <c r="O7" s="57"/>
      <c r="P7" s="57"/>
      <c r="Q7" s="57"/>
      <c r="R7" s="57"/>
      <c r="S7" s="56"/>
      <c r="T7" s="56"/>
      <c r="U7" s="56"/>
      <c r="V7" s="56"/>
      <c r="W7" s="56"/>
      <c r="X7" s="56"/>
      <c r="Y7" s="56"/>
      <c r="Z7" s="56"/>
      <c r="AI7" s="52" t="s">
        <v>158</v>
      </c>
    </row>
    <row r="8" spans="1:35">
      <c r="A8" s="54" t="s">
        <v>92</v>
      </c>
      <c r="B8" s="58">
        <f t="shared" si="0"/>
        <v>3337.2103472240879</v>
      </c>
      <c r="C8" s="56">
        <v>6</v>
      </c>
      <c r="D8" s="56">
        <v>5</v>
      </c>
      <c r="E8" s="56">
        <v>4</v>
      </c>
      <c r="F8" s="56">
        <v>3</v>
      </c>
      <c r="G8" s="56">
        <v>2</v>
      </c>
      <c r="H8" s="56">
        <v>1</v>
      </c>
      <c r="I8" s="56"/>
      <c r="J8" s="56"/>
      <c r="K8" s="57"/>
      <c r="L8" s="57"/>
      <c r="M8" s="57"/>
      <c r="N8" s="57"/>
      <c r="O8" s="57"/>
      <c r="P8" s="57"/>
      <c r="Q8" s="57"/>
      <c r="R8" s="57"/>
      <c r="S8" s="56"/>
      <c r="T8" s="56"/>
      <c r="U8" s="56"/>
      <c r="V8" s="56"/>
      <c r="W8" s="56"/>
      <c r="X8" s="56"/>
      <c r="Y8" s="56"/>
      <c r="Z8" s="56"/>
      <c r="AB8" s="92" t="s">
        <v>159</v>
      </c>
      <c r="AC8" s="80"/>
      <c r="AD8" s="80"/>
      <c r="AE8" s="80"/>
      <c r="AF8" s="80"/>
      <c r="AG8" s="70"/>
    </row>
    <row r="9" spans="1:35">
      <c r="A9" s="54" t="s">
        <v>93</v>
      </c>
      <c r="B9" s="58">
        <f t="shared" si="0"/>
        <v>3467.3615507658274</v>
      </c>
      <c r="C9" s="56">
        <v>7</v>
      </c>
      <c r="D9" s="56">
        <v>6</v>
      </c>
      <c r="E9" s="56">
        <v>5</v>
      </c>
      <c r="F9" s="56">
        <v>4</v>
      </c>
      <c r="G9" s="56">
        <v>3</v>
      </c>
      <c r="H9" s="56">
        <v>2</v>
      </c>
      <c r="I9" s="56">
        <v>1</v>
      </c>
      <c r="J9" s="56"/>
      <c r="K9" s="57"/>
      <c r="L9" s="57"/>
      <c r="M9" s="57"/>
      <c r="N9" s="57"/>
      <c r="O9" s="57"/>
      <c r="P9" s="57"/>
      <c r="Q9" s="57"/>
      <c r="R9" s="57"/>
      <c r="S9" s="56"/>
      <c r="T9" s="56"/>
      <c r="U9" s="56"/>
      <c r="V9" s="56"/>
      <c r="W9" s="56"/>
      <c r="X9" s="56"/>
      <c r="Y9" s="56"/>
      <c r="Z9" s="56"/>
      <c r="AB9" s="119" t="s">
        <v>160</v>
      </c>
      <c r="AC9" s="97"/>
      <c r="AD9" s="97"/>
      <c r="AE9" s="98"/>
      <c r="AF9" s="102" t="str">
        <f>IF(AI7="Não",IF(AND(AG2=3.9%,AG1=0%),'Base Cálculo Sinasefe'!C21,"Informar circunstâncias atuais"),IF(AND(AG2=3.9%,AG1=0%),'Base Cálculo Sinasefe'!G21,"Informar circunstâncias atuais"))</f>
        <v>Informar circunstâncias atuais</v>
      </c>
      <c r="AG9" s="98"/>
    </row>
    <row r="10" spans="1:35">
      <c r="A10" s="54" t="s">
        <v>94</v>
      </c>
      <c r="B10" s="58">
        <f t="shared" si="0"/>
        <v>3602.5886512456946</v>
      </c>
      <c r="C10" s="56">
        <v>8</v>
      </c>
      <c r="D10" s="56">
        <v>7</v>
      </c>
      <c r="E10" s="56">
        <v>6</v>
      </c>
      <c r="F10" s="56">
        <v>5</v>
      </c>
      <c r="G10" s="56">
        <v>4</v>
      </c>
      <c r="H10" s="56">
        <v>3</v>
      </c>
      <c r="I10" s="56">
        <v>2</v>
      </c>
      <c r="J10" s="56">
        <v>1</v>
      </c>
      <c r="K10" s="57"/>
      <c r="L10" s="57"/>
      <c r="M10" s="57"/>
      <c r="N10" s="57"/>
      <c r="O10" s="57"/>
      <c r="P10" s="57"/>
      <c r="Q10" s="57"/>
      <c r="R10" s="57"/>
      <c r="S10" s="56"/>
      <c r="T10" s="56"/>
      <c r="U10" s="56"/>
      <c r="V10" s="56"/>
      <c r="W10" s="56"/>
      <c r="X10" s="56"/>
      <c r="Y10" s="56"/>
      <c r="Z10" s="56"/>
      <c r="AB10" s="99"/>
      <c r="AC10" s="100"/>
      <c r="AD10" s="100"/>
      <c r="AE10" s="101"/>
      <c r="AF10" s="99"/>
      <c r="AG10" s="101"/>
    </row>
    <row r="11" spans="1:35" ht="23.25">
      <c r="A11" s="54" t="s">
        <v>95</v>
      </c>
      <c r="B11" s="58">
        <f t="shared" si="0"/>
        <v>3743.0896086442767</v>
      </c>
      <c r="C11" s="56">
        <v>9</v>
      </c>
      <c r="D11" s="56">
        <v>8</v>
      </c>
      <c r="E11" s="56">
        <v>7</v>
      </c>
      <c r="F11" s="56">
        <v>6</v>
      </c>
      <c r="G11" s="56">
        <v>5</v>
      </c>
      <c r="H11" s="56">
        <v>4</v>
      </c>
      <c r="I11" s="56">
        <v>3</v>
      </c>
      <c r="J11" s="56">
        <v>2</v>
      </c>
      <c r="K11" s="57">
        <v>1</v>
      </c>
      <c r="L11" s="57"/>
      <c r="M11" s="57"/>
      <c r="N11" s="57"/>
      <c r="O11" s="57"/>
      <c r="P11" s="57"/>
      <c r="Q11" s="57"/>
      <c r="R11" s="57"/>
      <c r="S11" s="56"/>
      <c r="T11" s="56"/>
      <c r="U11" s="56"/>
      <c r="V11" s="56"/>
      <c r="W11" s="56"/>
      <c r="X11" s="56"/>
      <c r="Y11" s="56"/>
      <c r="Z11" s="56"/>
      <c r="AB11" s="105" t="s">
        <v>161</v>
      </c>
      <c r="AC11" s="80"/>
      <c r="AD11" s="80"/>
      <c r="AE11" s="80"/>
      <c r="AF11" s="80"/>
      <c r="AG11" s="70"/>
    </row>
    <row r="12" spans="1:35">
      <c r="A12" s="54" t="s">
        <v>96</v>
      </c>
      <c r="B12" s="58">
        <f t="shared" si="0"/>
        <v>3889.0701033814034</v>
      </c>
      <c r="C12" s="56">
        <v>10</v>
      </c>
      <c r="D12" s="56">
        <v>9</v>
      </c>
      <c r="E12" s="56">
        <v>8</v>
      </c>
      <c r="F12" s="56">
        <v>7</v>
      </c>
      <c r="G12" s="56">
        <v>6</v>
      </c>
      <c r="H12" s="56">
        <v>5</v>
      </c>
      <c r="I12" s="56">
        <v>4</v>
      </c>
      <c r="J12" s="56">
        <v>3</v>
      </c>
      <c r="K12" s="57">
        <v>2</v>
      </c>
      <c r="L12" s="57">
        <v>1</v>
      </c>
      <c r="M12" s="57"/>
      <c r="N12" s="57"/>
      <c r="O12" s="57"/>
      <c r="P12" s="57"/>
      <c r="Q12" s="57"/>
      <c r="R12" s="57"/>
      <c r="S12" s="56"/>
      <c r="T12" s="56"/>
      <c r="U12" s="56"/>
      <c r="V12" s="56"/>
      <c r="W12" s="56"/>
      <c r="X12" s="56"/>
      <c r="Y12" s="56"/>
      <c r="Z12" s="56"/>
      <c r="AB12" s="106">
        <f>IF(AI7="Não",'Base Cálculo Sinasefe'!C21,'Base Cálculo Sinasefe'!G21)</f>
        <v>5139686047.5698786</v>
      </c>
      <c r="AC12" s="97"/>
      <c r="AD12" s="97"/>
      <c r="AE12" s="97"/>
      <c r="AF12" s="97"/>
      <c r="AG12" s="98"/>
    </row>
    <row r="13" spans="1:35">
      <c r="A13" s="54" t="s">
        <v>97</v>
      </c>
      <c r="B13" s="58">
        <f t="shared" si="0"/>
        <v>4040.743837413278</v>
      </c>
      <c r="C13" s="56">
        <v>11</v>
      </c>
      <c r="D13" s="56">
        <v>10</v>
      </c>
      <c r="E13" s="56">
        <v>9</v>
      </c>
      <c r="F13" s="56">
        <v>8</v>
      </c>
      <c r="G13" s="56">
        <v>7</v>
      </c>
      <c r="H13" s="56">
        <v>6</v>
      </c>
      <c r="I13" s="56">
        <v>5</v>
      </c>
      <c r="J13" s="56">
        <v>4</v>
      </c>
      <c r="K13" s="57">
        <v>3</v>
      </c>
      <c r="L13" s="57">
        <v>2</v>
      </c>
      <c r="M13" s="57">
        <v>1</v>
      </c>
      <c r="N13" s="57"/>
      <c r="O13" s="57"/>
      <c r="P13" s="57"/>
      <c r="Q13" s="57"/>
      <c r="R13" s="57"/>
      <c r="S13" s="56"/>
      <c r="T13" s="56"/>
      <c r="U13" s="56"/>
      <c r="V13" s="56"/>
      <c r="W13" s="56"/>
      <c r="X13" s="56"/>
      <c r="Y13" s="56"/>
      <c r="Z13" s="56"/>
      <c r="AB13" s="99"/>
      <c r="AC13" s="100"/>
      <c r="AD13" s="100"/>
      <c r="AE13" s="100"/>
      <c r="AF13" s="100"/>
      <c r="AG13" s="101"/>
    </row>
    <row r="14" spans="1:35">
      <c r="A14" s="54" t="s">
        <v>98</v>
      </c>
      <c r="B14" s="58">
        <f t="shared" si="0"/>
        <v>4198.3328470723955</v>
      </c>
      <c r="C14" s="56">
        <v>12</v>
      </c>
      <c r="D14" s="56">
        <v>11</v>
      </c>
      <c r="E14" s="56">
        <v>10</v>
      </c>
      <c r="F14" s="56">
        <v>9</v>
      </c>
      <c r="G14" s="56">
        <v>8</v>
      </c>
      <c r="H14" s="56">
        <v>7</v>
      </c>
      <c r="I14" s="56">
        <v>6</v>
      </c>
      <c r="J14" s="56">
        <v>5</v>
      </c>
      <c r="K14" s="57">
        <v>4</v>
      </c>
      <c r="L14" s="57">
        <v>3</v>
      </c>
      <c r="M14" s="57">
        <v>2</v>
      </c>
      <c r="N14" s="57">
        <v>1</v>
      </c>
      <c r="O14" s="57"/>
      <c r="P14" s="57"/>
      <c r="Q14" s="57"/>
      <c r="R14" s="57"/>
      <c r="S14" s="56"/>
      <c r="T14" s="56"/>
      <c r="U14" s="56"/>
      <c r="V14" s="56"/>
      <c r="W14" s="56"/>
      <c r="X14" s="56"/>
      <c r="Y14" s="56"/>
      <c r="Z14" s="56"/>
      <c r="AB14" s="103" t="s">
        <v>162</v>
      </c>
      <c r="AC14" s="80"/>
      <c r="AD14" s="80"/>
      <c r="AE14" s="80"/>
      <c r="AF14" s="80"/>
      <c r="AG14" s="70"/>
    </row>
    <row r="15" spans="1:35">
      <c r="A15" s="54" t="s">
        <v>99</v>
      </c>
      <c r="B15" s="58">
        <f t="shared" si="0"/>
        <v>4362.0678281082191</v>
      </c>
      <c r="C15" s="56">
        <v>13</v>
      </c>
      <c r="D15" s="56">
        <v>12</v>
      </c>
      <c r="E15" s="56">
        <v>11</v>
      </c>
      <c r="F15" s="56">
        <v>10</v>
      </c>
      <c r="G15" s="56">
        <v>9</v>
      </c>
      <c r="H15" s="56">
        <v>8</v>
      </c>
      <c r="I15" s="56">
        <v>7</v>
      </c>
      <c r="J15" s="56">
        <v>6</v>
      </c>
      <c r="K15" s="57">
        <v>5</v>
      </c>
      <c r="L15" s="57">
        <v>4</v>
      </c>
      <c r="M15" s="57">
        <v>3</v>
      </c>
      <c r="N15" s="57">
        <v>2</v>
      </c>
      <c r="O15" s="57">
        <v>1</v>
      </c>
      <c r="P15" s="57"/>
      <c r="Q15" s="57"/>
      <c r="R15" s="57"/>
      <c r="S15" s="56"/>
      <c r="T15" s="56"/>
      <c r="U15" s="56"/>
      <c r="V15" s="56"/>
      <c r="W15" s="56"/>
      <c r="X15" s="56"/>
      <c r="Y15" s="56"/>
      <c r="Z15" s="56"/>
      <c r="AB15" s="104">
        <f>IF(AI7="Não",'Base Cálculo Sinasefe'!D21,'Base Cálculo Sinasefe'!H21)</f>
        <v>24888030515.203003</v>
      </c>
      <c r="AC15" s="97"/>
      <c r="AD15" s="97"/>
      <c r="AE15" s="97"/>
      <c r="AF15" s="97"/>
      <c r="AG15" s="98"/>
    </row>
    <row r="16" spans="1:35">
      <c r="A16" s="54" t="s">
        <v>100</v>
      </c>
      <c r="B16" s="58">
        <f t="shared" si="0"/>
        <v>4532.1884734044397</v>
      </c>
      <c r="C16" s="56"/>
      <c r="D16" s="56">
        <v>13</v>
      </c>
      <c r="E16" s="56">
        <v>12</v>
      </c>
      <c r="F16" s="56">
        <v>11</v>
      </c>
      <c r="G16" s="56">
        <v>10</v>
      </c>
      <c r="H16" s="56">
        <v>9</v>
      </c>
      <c r="I16" s="56">
        <v>8</v>
      </c>
      <c r="J16" s="56">
        <v>7</v>
      </c>
      <c r="K16" s="57">
        <v>6</v>
      </c>
      <c r="L16" s="57">
        <v>5</v>
      </c>
      <c r="M16" s="57">
        <v>4</v>
      </c>
      <c r="N16" s="57">
        <v>3</v>
      </c>
      <c r="O16" s="57">
        <v>2</v>
      </c>
      <c r="P16" s="57">
        <v>1</v>
      </c>
      <c r="Q16" s="57"/>
      <c r="R16" s="57"/>
      <c r="S16" s="56"/>
      <c r="T16" s="56"/>
      <c r="U16" s="56"/>
      <c r="V16" s="56"/>
      <c r="W16" s="56"/>
      <c r="X16" s="56"/>
      <c r="Y16" s="56"/>
      <c r="Z16" s="56"/>
      <c r="AB16" s="99"/>
      <c r="AC16" s="100"/>
      <c r="AD16" s="100"/>
      <c r="AE16" s="100"/>
      <c r="AF16" s="100"/>
      <c r="AG16" s="101"/>
    </row>
    <row r="17" spans="1:33">
      <c r="A17" s="54" t="s">
        <v>101</v>
      </c>
      <c r="B17" s="58">
        <f t="shared" si="0"/>
        <v>4708.9438238672128</v>
      </c>
      <c r="C17" s="56"/>
      <c r="D17" s="56"/>
      <c r="E17" s="56">
        <v>13</v>
      </c>
      <c r="F17" s="56">
        <v>12</v>
      </c>
      <c r="G17" s="56">
        <v>11</v>
      </c>
      <c r="H17" s="56">
        <v>10</v>
      </c>
      <c r="I17" s="56">
        <v>9</v>
      </c>
      <c r="J17" s="56">
        <v>8</v>
      </c>
      <c r="K17" s="57">
        <v>7</v>
      </c>
      <c r="L17" s="57">
        <v>6</v>
      </c>
      <c r="M17" s="57">
        <v>5</v>
      </c>
      <c r="N17" s="57">
        <v>4</v>
      </c>
      <c r="O17" s="57">
        <v>3</v>
      </c>
      <c r="P17" s="57">
        <v>2</v>
      </c>
      <c r="Q17" s="57">
        <v>1</v>
      </c>
      <c r="R17" s="57"/>
      <c r="S17" s="56"/>
      <c r="T17" s="56"/>
      <c r="U17" s="56"/>
      <c r="V17" s="56"/>
      <c r="W17" s="56"/>
      <c r="X17" s="56"/>
      <c r="Y17" s="56"/>
      <c r="Z17" s="56"/>
      <c r="AB17" s="60"/>
      <c r="AC17" s="60"/>
      <c r="AD17" s="60"/>
      <c r="AE17" s="60"/>
      <c r="AF17" s="60"/>
      <c r="AG17" s="60"/>
    </row>
    <row r="18" spans="1:33">
      <c r="A18" s="54" t="s">
        <v>102</v>
      </c>
      <c r="B18" s="58">
        <f t="shared" si="0"/>
        <v>4892.5926329980339</v>
      </c>
      <c r="C18" s="56"/>
      <c r="D18" s="56"/>
      <c r="E18" s="56"/>
      <c r="F18" s="56">
        <v>13</v>
      </c>
      <c r="G18" s="56">
        <v>12</v>
      </c>
      <c r="H18" s="56">
        <v>11</v>
      </c>
      <c r="I18" s="56">
        <v>10</v>
      </c>
      <c r="J18" s="56">
        <v>9</v>
      </c>
      <c r="K18" s="57">
        <v>8</v>
      </c>
      <c r="L18" s="57">
        <v>7</v>
      </c>
      <c r="M18" s="57">
        <v>6</v>
      </c>
      <c r="N18" s="57">
        <v>5</v>
      </c>
      <c r="O18" s="57">
        <v>4</v>
      </c>
      <c r="P18" s="57">
        <v>3</v>
      </c>
      <c r="Q18" s="57">
        <v>2</v>
      </c>
      <c r="R18" s="57">
        <v>1</v>
      </c>
      <c r="S18" s="56"/>
      <c r="T18" s="56"/>
      <c r="U18" s="56"/>
      <c r="V18" s="56"/>
      <c r="W18" s="56"/>
      <c r="X18" s="56"/>
      <c r="Y18" s="56"/>
      <c r="Z18" s="56"/>
    </row>
    <row r="19" spans="1:33" ht="15.75" thickBot="1">
      <c r="A19" s="54" t="s">
        <v>103</v>
      </c>
      <c r="B19" s="58">
        <f t="shared" si="0"/>
        <v>5083.4037456849574</v>
      </c>
      <c r="C19" s="56"/>
      <c r="D19" s="56"/>
      <c r="E19" s="56"/>
      <c r="F19" s="56"/>
      <c r="G19" s="56">
        <v>13</v>
      </c>
      <c r="H19" s="56">
        <v>12</v>
      </c>
      <c r="I19" s="56">
        <v>11</v>
      </c>
      <c r="J19" s="56">
        <v>10</v>
      </c>
      <c r="K19" s="57">
        <v>9</v>
      </c>
      <c r="L19" s="57">
        <v>8</v>
      </c>
      <c r="M19" s="57">
        <v>7</v>
      </c>
      <c r="N19" s="57">
        <v>6</v>
      </c>
      <c r="O19" s="57">
        <v>5</v>
      </c>
      <c r="P19" s="57">
        <v>4</v>
      </c>
      <c r="Q19" s="57">
        <v>3</v>
      </c>
      <c r="R19" s="57">
        <v>2</v>
      </c>
      <c r="S19" s="56">
        <v>1</v>
      </c>
      <c r="T19" s="56"/>
      <c r="U19" s="56"/>
      <c r="V19" s="56"/>
      <c r="W19" s="56"/>
      <c r="X19" s="56"/>
      <c r="Y19" s="56"/>
      <c r="Z19" s="56"/>
      <c r="AB19" s="21"/>
      <c r="AC19" s="65"/>
      <c r="AD19" s="107" t="s">
        <v>249</v>
      </c>
      <c r="AE19" s="108"/>
      <c r="AF19" s="108"/>
      <c r="AG19" s="109"/>
    </row>
    <row r="20" spans="1:33">
      <c r="A20" s="54" t="s">
        <v>104</v>
      </c>
      <c r="B20" s="58">
        <f t="shared" si="0"/>
        <v>5281.656491766671</v>
      </c>
      <c r="C20" s="56"/>
      <c r="D20" s="56"/>
      <c r="E20" s="56"/>
      <c r="F20" s="56"/>
      <c r="G20" s="56"/>
      <c r="H20" s="56">
        <v>13</v>
      </c>
      <c r="I20" s="56">
        <v>12</v>
      </c>
      <c r="J20" s="56">
        <v>11</v>
      </c>
      <c r="K20" s="57">
        <v>10</v>
      </c>
      <c r="L20" s="57">
        <v>9</v>
      </c>
      <c r="M20" s="57">
        <v>8</v>
      </c>
      <c r="N20" s="57">
        <v>7</v>
      </c>
      <c r="O20" s="57">
        <v>6</v>
      </c>
      <c r="P20" s="57">
        <v>5</v>
      </c>
      <c r="Q20" s="57">
        <v>4</v>
      </c>
      <c r="R20" s="57">
        <v>3</v>
      </c>
      <c r="S20" s="56">
        <v>2</v>
      </c>
      <c r="T20" s="56">
        <v>1</v>
      </c>
      <c r="U20" s="56"/>
      <c r="V20" s="56"/>
      <c r="W20" s="56"/>
      <c r="X20" s="56"/>
      <c r="Y20" s="56"/>
      <c r="Z20" s="56"/>
      <c r="AC20" s="66" t="s">
        <v>239</v>
      </c>
      <c r="AD20" s="110">
        <f>B3</f>
        <v>2756.1689999999999</v>
      </c>
      <c r="AE20" s="111"/>
      <c r="AF20" s="111"/>
      <c r="AG20" s="112"/>
    </row>
    <row r="21" spans="1:33" ht="15.75" customHeight="1">
      <c r="A21" s="54" t="s">
        <v>105</v>
      </c>
      <c r="B21" s="58">
        <f t="shared" si="0"/>
        <v>5487.6410949455712</v>
      </c>
      <c r="C21" s="56"/>
      <c r="D21" s="56"/>
      <c r="E21" s="56"/>
      <c r="F21" s="56"/>
      <c r="G21" s="56"/>
      <c r="H21" s="56"/>
      <c r="I21" s="56">
        <v>13</v>
      </c>
      <c r="J21" s="56">
        <v>12</v>
      </c>
      <c r="K21" s="57">
        <v>11</v>
      </c>
      <c r="L21" s="57">
        <v>10</v>
      </c>
      <c r="M21" s="57">
        <v>9</v>
      </c>
      <c r="N21" s="57">
        <v>8</v>
      </c>
      <c r="O21" s="57">
        <v>7</v>
      </c>
      <c r="P21" s="57">
        <v>6</v>
      </c>
      <c r="Q21" s="57">
        <v>5</v>
      </c>
      <c r="R21" s="57">
        <v>4</v>
      </c>
      <c r="S21" s="56">
        <v>3</v>
      </c>
      <c r="T21" s="56">
        <v>2</v>
      </c>
      <c r="U21" s="56">
        <v>1</v>
      </c>
      <c r="V21" s="56"/>
      <c r="W21" s="56"/>
      <c r="X21" s="56"/>
      <c r="Y21" s="56"/>
      <c r="Z21" s="56"/>
      <c r="AC21" s="68" t="s">
        <v>240</v>
      </c>
      <c r="AD21" s="110">
        <f>B22</f>
        <v>5701.6590976484486</v>
      </c>
      <c r="AE21" s="111"/>
      <c r="AF21" s="111"/>
      <c r="AG21" s="112"/>
    </row>
    <row r="22" spans="1:33" ht="15.75" customHeight="1">
      <c r="A22" s="54" t="s">
        <v>106</v>
      </c>
      <c r="B22" s="58">
        <f t="shared" si="0"/>
        <v>5701.6590976484486</v>
      </c>
      <c r="C22" s="56"/>
      <c r="D22" s="56"/>
      <c r="E22" s="56"/>
      <c r="F22" s="56"/>
      <c r="G22" s="56"/>
      <c r="H22" s="56"/>
      <c r="I22" s="56"/>
      <c r="J22" s="56">
        <v>13</v>
      </c>
      <c r="K22" s="57">
        <v>12</v>
      </c>
      <c r="L22" s="57">
        <v>11</v>
      </c>
      <c r="M22" s="57">
        <v>10</v>
      </c>
      <c r="N22" s="57">
        <v>9</v>
      </c>
      <c r="O22" s="57">
        <v>8</v>
      </c>
      <c r="P22" s="57">
        <v>7</v>
      </c>
      <c r="Q22" s="57">
        <v>6</v>
      </c>
      <c r="R22" s="57">
        <v>5</v>
      </c>
      <c r="S22" s="56">
        <v>4</v>
      </c>
      <c r="T22" s="56">
        <v>3</v>
      </c>
      <c r="U22" s="56">
        <v>2</v>
      </c>
      <c r="V22" s="56">
        <v>1</v>
      </c>
      <c r="W22" s="56"/>
      <c r="X22" s="56"/>
      <c r="Y22" s="56"/>
      <c r="Z22" s="56"/>
      <c r="AC22" s="67" t="s">
        <v>241</v>
      </c>
      <c r="AD22" s="110">
        <f>B3</f>
        <v>2756.1689999999999</v>
      </c>
      <c r="AE22" s="111"/>
      <c r="AF22" s="111"/>
      <c r="AG22" s="112"/>
    </row>
    <row r="23" spans="1:33" ht="15.75" customHeight="1">
      <c r="A23" s="54" t="s">
        <v>107</v>
      </c>
      <c r="B23" s="58">
        <f t="shared" si="0"/>
        <v>5924.0238024567379</v>
      </c>
      <c r="C23" s="56"/>
      <c r="D23" s="56"/>
      <c r="E23" s="56"/>
      <c r="F23" s="56"/>
      <c r="G23" s="56"/>
      <c r="H23" s="56"/>
      <c r="I23" s="56"/>
      <c r="J23" s="56"/>
      <c r="K23" s="57">
        <v>13</v>
      </c>
      <c r="L23" s="57">
        <v>12</v>
      </c>
      <c r="M23" s="57">
        <v>11</v>
      </c>
      <c r="N23" s="57">
        <v>10</v>
      </c>
      <c r="O23" s="57">
        <v>9</v>
      </c>
      <c r="P23" s="57">
        <v>8</v>
      </c>
      <c r="Q23" s="57">
        <v>7</v>
      </c>
      <c r="R23" s="57">
        <v>6</v>
      </c>
      <c r="S23" s="56">
        <v>5</v>
      </c>
      <c r="T23" s="56">
        <v>4</v>
      </c>
      <c r="U23" s="56">
        <v>3</v>
      </c>
      <c r="V23" s="56">
        <v>2</v>
      </c>
      <c r="W23" s="56">
        <v>1</v>
      </c>
      <c r="X23" s="56"/>
      <c r="Y23" s="56"/>
      <c r="Z23" s="56"/>
      <c r="AC23" s="68" t="s">
        <v>242</v>
      </c>
      <c r="AD23" s="110">
        <f>B22</f>
        <v>5701.6590976484486</v>
      </c>
      <c r="AE23" s="111"/>
      <c r="AF23" s="111"/>
      <c r="AG23" s="112"/>
    </row>
    <row r="24" spans="1:33" ht="15.75" customHeight="1">
      <c r="A24" s="54" t="s">
        <v>108</v>
      </c>
      <c r="B24" s="58">
        <f t="shared" si="0"/>
        <v>6155.0607307525506</v>
      </c>
      <c r="C24" s="56"/>
      <c r="D24" s="56"/>
      <c r="E24" s="56"/>
      <c r="F24" s="56"/>
      <c r="G24" s="56"/>
      <c r="H24" s="56"/>
      <c r="I24" s="56"/>
      <c r="J24" s="56"/>
      <c r="K24" s="57"/>
      <c r="L24" s="57">
        <v>13</v>
      </c>
      <c r="M24" s="57">
        <v>12</v>
      </c>
      <c r="N24" s="57">
        <v>11</v>
      </c>
      <c r="O24" s="57">
        <v>10</v>
      </c>
      <c r="P24" s="57">
        <v>9</v>
      </c>
      <c r="Q24" s="57">
        <v>8</v>
      </c>
      <c r="R24" s="57">
        <v>7</v>
      </c>
      <c r="S24" s="56">
        <v>6</v>
      </c>
      <c r="T24" s="56">
        <v>5</v>
      </c>
      <c r="U24" s="56">
        <v>4</v>
      </c>
      <c r="V24" s="56">
        <v>3</v>
      </c>
      <c r="W24" s="56">
        <v>2</v>
      </c>
      <c r="X24" s="56">
        <v>1</v>
      </c>
      <c r="Y24" s="56"/>
      <c r="Z24" s="56"/>
      <c r="AC24" s="67" t="s">
        <v>243</v>
      </c>
      <c r="AD24" s="110">
        <f>B3</f>
        <v>2756.1689999999999</v>
      </c>
      <c r="AE24" s="111"/>
      <c r="AF24" s="111"/>
      <c r="AG24" s="112"/>
    </row>
    <row r="25" spans="1:33" ht="15.75" customHeight="1">
      <c r="A25" s="54" t="s">
        <v>109</v>
      </c>
      <c r="B25" s="58">
        <f t="shared" si="0"/>
        <v>6395.1080992519001</v>
      </c>
      <c r="C25" s="56"/>
      <c r="D25" s="56"/>
      <c r="E25" s="56"/>
      <c r="F25" s="56"/>
      <c r="G25" s="56"/>
      <c r="H25" s="56"/>
      <c r="I25" s="56"/>
      <c r="J25" s="56"/>
      <c r="K25" s="57"/>
      <c r="L25" s="57"/>
      <c r="M25" s="57">
        <v>13</v>
      </c>
      <c r="N25" s="57">
        <v>12</v>
      </c>
      <c r="O25" s="57">
        <v>11</v>
      </c>
      <c r="P25" s="57">
        <v>10</v>
      </c>
      <c r="Q25" s="57">
        <v>9</v>
      </c>
      <c r="R25" s="57">
        <v>8</v>
      </c>
      <c r="S25" s="56">
        <v>7</v>
      </c>
      <c r="T25" s="56">
        <v>6</v>
      </c>
      <c r="U25" s="56">
        <v>5</v>
      </c>
      <c r="V25" s="56">
        <v>4</v>
      </c>
      <c r="W25" s="56">
        <v>3</v>
      </c>
      <c r="X25" s="56">
        <v>2</v>
      </c>
      <c r="Y25" s="56">
        <v>1</v>
      </c>
      <c r="Z25" s="56"/>
      <c r="AC25" s="68" t="s">
        <v>244</v>
      </c>
      <c r="AD25" s="110">
        <f>B22</f>
        <v>5701.6590976484486</v>
      </c>
      <c r="AE25" s="111"/>
      <c r="AF25" s="111"/>
      <c r="AG25" s="112"/>
    </row>
    <row r="26" spans="1:33" ht="15.75" customHeight="1">
      <c r="A26" s="54" t="s">
        <v>110</v>
      </c>
      <c r="B26" s="58">
        <f t="shared" si="0"/>
        <v>6644.5173151227245</v>
      </c>
      <c r="C26" s="56"/>
      <c r="D26" s="56"/>
      <c r="E26" s="56"/>
      <c r="F26" s="56"/>
      <c r="G26" s="56"/>
      <c r="H26" s="56"/>
      <c r="I26" s="56"/>
      <c r="J26" s="56"/>
      <c r="K26" s="57"/>
      <c r="L26" s="57"/>
      <c r="M26" s="57"/>
      <c r="N26" s="57">
        <v>13</v>
      </c>
      <c r="O26" s="57">
        <v>12</v>
      </c>
      <c r="P26" s="57">
        <v>11</v>
      </c>
      <c r="Q26" s="57">
        <v>10</v>
      </c>
      <c r="R26" s="57">
        <v>9</v>
      </c>
      <c r="S26" s="56">
        <v>8</v>
      </c>
      <c r="T26" s="56">
        <v>7</v>
      </c>
      <c r="U26" s="56">
        <v>6</v>
      </c>
      <c r="V26" s="56">
        <v>5</v>
      </c>
      <c r="W26" s="56">
        <v>4</v>
      </c>
      <c r="X26" s="56">
        <v>3</v>
      </c>
      <c r="Y26" s="56">
        <v>2</v>
      </c>
      <c r="Z26" s="56">
        <v>1</v>
      </c>
      <c r="AC26" s="67" t="s">
        <v>245</v>
      </c>
      <c r="AD26" s="110">
        <f>B11</f>
        <v>3743.0896086442767</v>
      </c>
      <c r="AE26" s="111"/>
      <c r="AF26" s="111"/>
      <c r="AG26" s="112"/>
    </row>
    <row r="27" spans="1:33" ht="15.75" customHeight="1">
      <c r="A27" s="54" t="s">
        <v>111</v>
      </c>
      <c r="B27" s="58">
        <f t="shared" si="0"/>
        <v>6903.653490412511</v>
      </c>
      <c r="C27" s="56"/>
      <c r="D27" s="56"/>
      <c r="E27" s="56"/>
      <c r="F27" s="56"/>
      <c r="G27" s="56"/>
      <c r="H27" s="56"/>
      <c r="I27" s="56"/>
      <c r="J27" s="56"/>
      <c r="K27" s="57"/>
      <c r="L27" s="57"/>
      <c r="M27" s="57"/>
      <c r="N27" s="57"/>
      <c r="O27" s="57">
        <v>13</v>
      </c>
      <c r="P27" s="57">
        <v>12</v>
      </c>
      <c r="Q27" s="57">
        <v>11</v>
      </c>
      <c r="R27" s="57">
        <v>10</v>
      </c>
      <c r="S27" s="56">
        <v>9</v>
      </c>
      <c r="T27" s="56">
        <v>8</v>
      </c>
      <c r="U27" s="56">
        <v>7</v>
      </c>
      <c r="V27" s="56">
        <v>6</v>
      </c>
      <c r="W27" s="56">
        <v>5</v>
      </c>
      <c r="X27" s="56">
        <v>4</v>
      </c>
      <c r="Y27" s="56">
        <v>3</v>
      </c>
      <c r="Z27" s="56">
        <v>2</v>
      </c>
      <c r="AC27" s="68" t="s">
        <v>246</v>
      </c>
      <c r="AD27" s="113">
        <f>B30</f>
        <v>7743.291837488925</v>
      </c>
      <c r="AE27" s="113"/>
      <c r="AF27" s="113"/>
      <c r="AG27" s="113"/>
    </row>
    <row r="28" spans="1:33" ht="15.75" customHeight="1">
      <c r="A28" s="54" t="s">
        <v>112</v>
      </c>
      <c r="B28" s="58">
        <f t="shared" si="0"/>
        <v>7172.8959765385989</v>
      </c>
      <c r="C28" s="56"/>
      <c r="D28" s="56"/>
      <c r="E28" s="56"/>
      <c r="F28" s="56"/>
      <c r="G28" s="56"/>
      <c r="H28" s="56"/>
      <c r="I28" s="56"/>
      <c r="J28" s="56"/>
      <c r="K28" s="57"/>
      <c r="L28" s="57"/>
      <c r="M28" s="57"/>
      <c r="N28" s="57"/>
      <c r="O28" s="57"/>
      <c r="P28" s="57">
        <v>13</v>
      </c>
      <c r="Q28" s="57">
        <v>12</v>
      </c>
      <c r="R28" s="57">
        <v>11</v>
      </c>
      <c r="S28" s="56">
        <v>10</v>
      </c>
      <c r="T28" s="56">
        <v>9</v>
      </c>
      <c r="U28" s="56">
        <v>8</v>
      </c>
      <c r="V28" s="56">
        <v>7</v>
      </c>
      <c r="W28" s="56">
        <v>6</v>
      </c>
      <c r="X28" s="56">
        <v>5</v>
      </c>
      <c r="Y28" s="56">
        <v>4</v>
      </c>
      <c r="Z28" s="56">
        <v>3</v>
      </c>
      <c r="AC28" s="67" t="s">
        <v>247</v>
      </c>
      <c r="AD28" s="113">
        <f>B19</f>
        <v>5083.4037456849574</v>
      </c>
      <c r="AE28" s="113"/>
      <c r="AF28" s="113"/>
      <c r="AG28" s="113"/>
    </row>
    <row r="29" spans="1:33" ht="15.75" customHeight="1">
      <c r="A29" s="54" t="s">
        <v>113</v>
      </c>
      <c r="B29" s="58">
        <f t="shared" si="0"/>
        <v>7452.6389196236041</v>
      </c>
      <c r="C29" s="56"/>
      <c r="D29" s="56"/>
      <c r="E29" s="56"/>
      <c r="F29" s="56"/>
      <c r="G29" s="56"/>
      <c r="H29" s="56"/>
      <c r="I29" s="56"/>
      <c r="J29" s="56"/>
      <c r="K29" s="57"/>
      <c r="L29" s="57"/>
      <c r="M29" s="57"/>
      <c r="N29" s="57"/>
      <c r="O29" s="57"/>
      <c r="P29" s="57"/>
      <c r="Q29" s="57">
        <v>13</v>
      </c>
      <c r="R29" s="57">
        <v>12</v>
      </c>
      <c r="S29" s="56">
        <v>11</v>
      </c>
      <c r="T29" s="56">
        <v>10</v>
      </c>
      <c r="U29" s="56">
        <v>9</v>
      </c>
      <c r="V29" s="56">
        <v>8</v>
      </c>
      <c r="W29" s="56">
        <v>7</v>
      </c>
      <c r="X29" s="56">
        <v>6</v>
      </c>
      <c r="Y29" s="56">
        <v>5</v>
      </c>
      <c r="Z29" s="56">
        <v>4</v>
      </c>
      <c r="AC29" s="68" t="s">
        <v>248</v>
      </c>
      <c r="AD29" s="113">
        <f>B38</f>
        <v>10515.986216231604</v>
      </c>
      <c r="AE29" s="113"/>
      <c r="AF29" s="113"/>
      <c r="AG29" s="113"/>
    </row>
    <row r="30" spans="1:33" ht="15.75" customHeight="1">
      <c r="A30" s="54" t="s">
        <v>114</v>
      </c>
      <c r="B30" s="58">
        <f t="shared" si="0"/>
        <v>7743.291837488925</v>
      </c>
      <c r="C30" s="56"/>
      <c r="D30" s="56"/>
      <c r="E30" s="56"/>
      <c r="F30" s="56"/>
      <c r="G30" s="56"/>
      <c r="H30" s="56"/>
      <c r="I30" s="56"/>
      <c r="J30" s="56"/>
      <c r="K30" s="57"/>
      <c r="L30" s="57"/>
      <c r="M30" s="57"/>
      <c r="N30" s="57"/>
      <c r="O30" s="57"/>
      <c r="P30" s="57"/>
      <c r="Q30" s="57"/>
      <c r="R30" s="57">
        <v>13</v>
      </c>
      <c r="S30" s="56">
        <v>12</v>
      </c>
      <c r="T30" s="56">
        <v>11</v>
      </c>
      <c r="U30" s="56">
        <v>10</v>
      </c>
      <c r="V30" s="56">
        <v>9</v>
      </c>
      <c r="W30" s="56">
        <v>8</v>
      </c>
      <c r="X30" s="56">
        <v>7</v>
      </c>
      <c r="Y30" s="56">
        <v>6</v>
      </c>
      <c r="Z30" s="56">
        <v>5</v>
      </c>
    </row>
    <row r="31" spans="1:33" ht="15.75" customHeight="1">
      <c r="A31" s="54" t="s">
        <v>115</v>
      </c>
      <c r="B31" s="58">
        <f t="shared" si="0"/>
        <v>8045.2802191509927</v>
      </c>
      <c r="C31" s="56"/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7"/>
      <c r="O31" s="57"/>
      <c r="P31" s="57"/>
      <c r="Q31" s="57"/>
      <c r="R31" s="57"/>
      <c r="S31" s="56">
        <v>13</v>
      </c>
      <c r="T31" s="56">
        <v>12</v>
      </c>
      <c r="U31" s="56">
        <v>11</v>
      </c>
      <c r="V31" s="56">
        <v>10</v>
      </c>
      <c r="W31" s="56">
        <v>9</v>
      </c>
      <c r="X31" s="56">
        <v>8</v>
      </c>
      <c r="Y31" s="56">
        <v>7</v>
      </c>
      <c r="Z31" s="56">
        <v>6</v>
      </c>
    </row>
    <row r="32" spans="1:33" ht="15.75" customHeight="1">
      <c r="A32" s="54" t="s">
        <v>116</v>
      </c>
      <c r="B32" s="58">
        <f t="shared" si="0"/>
        <v>8359.0461476978817</v>
      </c>
      <c r="C32" s="56"/>
      <c r="D32" s="56"/>
      <c r="E32" s="56"/>
      <c r="F32" s="56"/>
      <c r="G32" s="56"/>
      <c r="H32" s="56"/>
      <c r="I32" s="56"/>
      <c r="J32" s="56"/>
      <c r="K32" s="57"/>
      <c r="L32" s="57"/>
      <c r="M32" s="57"/>
      <c r="N32" s="57"/>
      <c r="O32" s="57"/>
      <c r="P32" s="57"/>
      <c r="Q32" s="57"/>
      <c r="R32" s="57"/>
      <c r="S32" s="56"/>
      <c r="T32" s="56">
        <v>13</v>
      </c>
      <c r="U32" s="56">
        <v>12</v>
      </c>
      <c r="V32" s="56">
        <v>11</v>
      </c>
      <c r="W32" s="56">
        <v>10</v>
      </c>
      <c r="X32" s="56">
        <v>9</v>
      </c>
      <c r="Y32" s="56">
        <v>8</v>
      </c>
      <c r="Z32" s="56">
        <v>7</v>
      </c>
    </row>
    <row r="33" spans="1:26" ht="15.75" customHeight="1">
      <c r="A33" s="54" t="s">
        <v>117</v>
      </c>
      <c r="B33" s="58">
        <f t="shared" si="0"/>
        <v>8685.0489474580991</v>
      </c>
      <c r="C33" s="56"/>
      <c r="D33" s="56"/>
      <c r="E33" s="56"/>
      <c r="F33" s="56"/>
      <c r="G33" s="56"/>
      <c r="H33" s="56"/>
      <c r="I33" s="56"/>
      <c r="J33" s="56"/>
      <c r="K33" s="57"/>
      <c r="L33" s="57"/>
      <c r="M33" s="57"/>
      <c r="N33" s="57"/>
      <c r="O33" s="57"/>
      <c r="P33" s="57"/>
      <c r="Q33" s="57"/>
      <c r="R33" s="57"/>
      <c r="S33" s="56"/>
      <c r="T33" s="56"/>
      <c r="U33" s="56">
        <v>13</v>
      </c>
      <c r="V33" s="56">
        <v>12</v>
      </c>
      <c r="W33" s="56">
        <v>11</v>
      </c>
      <c r="X33" s="56">
        <v>10</v>
      </c>
      <c r="Y33" s="56">
        <v>9</v>
      </c>
      <c r="Z33" s="56">
        <v>8</v>
      </c>
    </row>
    <row r="34" spans="1:26" ht="15.75" customHeight="1">
      <c r="A34" s="54" t="s">
        <v>118</v>
      </c>
      <c r="B34" s="58">
        <f t="shared" si="0"/>
        <v>9023.7658564089652</v>
      </c>
      <c r="C34" s="56"/>
      <c r="D34" s="56"/>
      <c r="E34" s="56"/>
      <c r="F34" s="56"/>
      <c r="G34" s="56"/>
      <c r="H34" s="56"/>
      <c r="I34" s="56"/>
      <c r="J34" s="56"/>
      <c r="K34" s="57"/>
      <c r="L34" s="57"/>
      <c r="M34" s="57"/>
      <c r="N34" s="57"/>
      <c r="O34" s="57"/>
      <c r="P34" s="57"/>
      <c r="Q34" s="57"/>
      <c r="R34" s="57"/>
      <c r="S34" s="56"/>
      <c r="T34" s="56"/>
      <c r="U34" s="56"/>
      <c r="V34" s="56">
        <v>13</v>
      </c>
      <c r="W34" s="56">
        <v>12</v>
      </c>
      <c r="X34" s="56">
        <v>11</v>
      </c>
      <c r="Y34" s="56">
        <v>10</v>
      </c>
      <c r="Z34" s="56">
        <v>9</v>
      </c>
    </row>
    <row r="35" spans="1:26" ht="15.75" customHeight="1">
      <c r="A35" s="54" t="s">
        <v>119</v>
      </c>
      <c r="B35" s="58">
        <f t="shared" si="0"/>
        <v>9375.6927248089141</v>
      </c>
      <c r="C35" s="56"/>
      <c r="D35" s="56"/>
      <c r="E35" s="56"/>
      <c r="F35" s="56"/>
      <c r="G35" s="56"/>
      <c r="H35" s="56"/>
      <c r="I35" s="56"/>
      <c r="J35" s="56"/>
      <c r="K35" s="57"/>
      <c r="L35" s="57"/>
      <c r="M35" s="57"/>
      <c r="N35" s="57"/>
      <c r="O35" s="57"/>
      <c r="P35" s="57"/>
      <c r="Q35" s="57"/>
      <c r="R35" s="57"/>
      <c r="S35" s="56"/>
      <c r="T35" s="56"/>
      <c r="U35" s="56"/>
      <c r="V35" s="56"/>
      <c r="W35" s="56">
        <v>13</v>
      </c>
      <c r="X35" s="56">
        <v>12</v>
      </c>
      <c r="Y35" s="56">
        <v>11</v>
      </c>
      <c r="Z35" s="56">
        <v>10</v>
      </c>
    </row>
    <row r="36" spans="1:26" ht="15.75" customHeight="1">
      <c r="A36" s="54" t="s">
        <v>120</v>
      </c>
      <c r="B36" s="58">
        <f t="shared" si="0"/>
        <v>9741.344741076462</v>
      </c>
      <c r="C36" s="56"/>
      <c r="D36" s="56"/>
      <c r="E36" s="56"/>
      <c r="F36" s="56"/>
      <c r="G36" s="56"/>
      <c r="H36" s="56"/>
      <c r="I36" s="56"/>
      <c r="J36" s="56"/>
      <c r="K36" s="57"/>
      <c r="L36" s="57"/>
      <c r="M36" s="57"/>
      <c r="N36" s="57"/>
      <c r="O36" s="57"/>
      <c r="P36" s="57"/>
      <c r="Q36" s="57"/>
      <c r="R36" s="57"/>
      <c r="S36" s="56"/>
      <c r="T36" s="56"/>
      <c r="U36" s="56"/>
      <c r="V36" s="56"/>
      <c r="W36" s="56"/>
      <c r="X36" s="56">
        <v>13</v>
      </c>
      <c r="Y36" s="56">
        <v>12</v>
      </c>
      <c r="Z36" s="56">
        <v>11</v>
      </c>
    </row>
    <row r="37" spans="1:26" ht="15.75" customHeight="1">
      <c r="A37" s="54" t="s">
        <v>121</v>
      </c>
      <c r="B37" s="58">
        <f t="shared" si="0"/>
        <v>10121.257185978444</v>
      </c>
      <c r="C37" s="56"/>
      <c r="D37" s="56"/>
      <c r="E37" s="56"/>
      <c r="F37" s="56"/>
      <c r="G37" s="56"/>
      <c r="H37" s="56"/>
      <c r="I37" s="56"/>
      <c r="J37" s="56"/>
      <c r="K37" s="57"/>
      <c r="L37" s="57"/>
      <c r="M37" s="57"/>
      <c r="N37" s="57"/>
      <c r="O37" s="57"/>
      <c r="P37" s="57"/>
      <c r="Q37" s="57"/>
      <c r="R37" s="57"/>
      <c r="S37" s="56"/>
      <c r="T37" s="56"/>
      <c r="U37" s="56"/>
      <c r="V37" s="56"/>
      <c r="W37" s="56"/>
      <c r="X37" s="56"/>
      <c r="Y37" s="56">
        <v>13</v>
      </c>
      <c r="Z37" s="56">
        <v>12</v>
      </c>
    </row>
    <row r="38" spans="1:26" ht="15.75" customHeight="1">
      <c r="A38" s="54" t="s">
        <v>122</v>
      </c>
      <c r="B38" s="58">
        <f t="shared" si="0"/>
        <v>10515.986216231604</v>
      </c>
      <c r="C38" s="56"/>
      <c r="D38" s="56"/>
      <c r="E38" s="56"/>
      <c r="F38" s="56"/>
      <c r="G38" s="56"/>
      <c r="H38" s="56"/>
      <c r="I38" s="56"/>
      <c r="J38" s="56"/>
      <c r="K38" s="57"/>
      <c r="L38" s="57"/>
      <c r="M38" s="57"/>
      <c r="N38" s="57"/>
      <c r="O38" s="57"/>
      <c r="P38" s="57"/>
      <c r="Q38" s="57"/>
      <c r="R38" s="57"/>
      <c r="S38" s="56"/>
      <c r="T38" s="56"/>
      <c r="U38" s="56"/>
      <c r="V38" s="56"/>
      <c r="W38" s="56"/>
      <c r="X38" s="56"/>
      <c r="Y38" s="56"/>
      <c r="Z38" s="56">
        <v>13</v>
      </c>
    </row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D29:AG29"/>
    <mergeCell ref="AD24:AG24"/>
    <mergeCell ref="AD25:AG25"/>
    <mergeCell ref="AD26:AG26"/>
    <mergeCell ref="AD27:AG27"/>
    <mergeCell ref="AD28:AG28"/>
    <mergeCell ref="AD19:AG19"/>
    <mergeCell ref="AD20:AG20"/>
    <mergeCell ref="AD21:AG21"/>
    <mergeCell ref="AD22:AG22"/>
    <mergeCell ref="AD23:AG23"/>
    <mergeCell ref="AI3:AI4"/>
    <mergeCell ref="AB8:AG8"/>
    <mergeCell ref="AB9:AE10"/>
    <mergeCell ref="AF9:AG10"/>
    <mergeCell ref="AB11:AG11"/>
    <mergeCell ref="AB1:AF1"/>
    <mergeCell ref="AB2:AF2"/>
    <mergeCell ref="AB14:AG14"/>
    <mergeCell ref="AB15:AG16"/>
    <mergeCell ref="AB3:AF3"/>
    <mergeCell ref="AB12:AG13"/>
    <mergeCell ref="A1:A2"/>
    <mergeCell ref="B1:B2"/>
    <mergeCell ref="C1:J1"/>
    <mergeCell ref="K1:R1"/>
    <mergeCell ref="S1:Z1"/>
  </mergeCells>
  <conditionalFormatting sqref="AG6">
    <cfRule type="cellIs" dxfId="1" priority="1" operator="lessThan">
      <formula>"0%"</formula>
    </cfRule>
  </conditionalFormatting>
  <dataValidations count="1">
    <dataValidation type="list" allowBlank="1" showErrorMessage="1" sqref="AI7" xr:uid="{00000000-0002-0000-0800-000000000000}">
      <formula1>"Sim,Não"</formula1>
    </dataValidation>
  </dataValidation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Folha - Bases Cálculo</vt:lpstr>
      <vt:lpstr>Efeito Step</vt:lpstr>
      <vt:lpstr>Matriz Atual</vt:lpstr>
      <vt:lpstr>Base Cálculo Sinasefe</vt:lpstr>
      <vt:lpstr>Base Cálculo Sinasefe AB CD E</vt:lpstr>
      <vt:lpstr>Efeito Step Sinasefe AB CD E</vt:lpstr>
      <vt:lpstr>Efeito Step Sinasefe</vt:lpstr>
      <vt:lpstr>Fasubra</vt:lpstr>
      <vt:lpstr>Sinasefe</vt:lpstr>
      <vt:lpstr>Sinasefe AB CD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.</dc:creator>
  <cp:lastModifiedBy>WILLIAM CARVALHO</cp:lastModifiedBy>
  <dcterms:created xsi:type="dcterms:W3CDTF">2023-12-12T17:24:18Z</dcterms:created>
  <dcterms:modified xsi:type="dcterms:W3CDTF">2023-12-15T01:05:10Z</dcterms:modified>
</cp:coreProperties>
</file>